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265" firstSheet="10" activeTab="10"/>
  </bookViews>
  <sheets>
    <sheet name="Amoco Petroleum 10335" sheetId="1" r:id="rId1"/>
    <sheet name="BYU 10790" sheetId="2" r:id="rId2"/>
    <sheet name="Brush Wellman 10311" sheetId="3" r:id="rId3"/>
    <sheet name="Chevron Refinery 10119" sheetId="4" r:id="rId4"/>
    <sheet name="Davis Cnty Solid Waste 10129" sheetId="5" r:id="rId5"/>
    <sheet name="Flying J Refinery 10122" sheetId="6" r:id="rId6"/>
    <sheet name="Geneva Steel 10796" sheetId="7" r:id="rId7"/>
    <sheet name="Graymont Cricket Mtn 10313" sheetId="8" r:id="rId8"/>
    <sheet name="Holnam Devils Slide 10007" sheetId="9" r:id="rId9"/>
    <sheet name="Intermountain Power 10327" sheetId="10" r:id="rId10"/>
    <sheet name="Kennecott Smelter, Refine 10346" sheetId="11" r:id="rId11"/>
    <sheet name="Kennecott Mine &amp; Concentr 10571" sheetId="12" r:id="rId12"/>
    <sheet name="Kennecott N Conc  10572" sheetId="13" r:id="rId13"/>
    <sheet name="LDS Hospital 10347" sheetId="14" r:id="rId14"/>
    <sheet name="MagCorp 10716" sheetId="15" r:id="rId15"/>
    <sheet name="Pacificorp Carbon Pwr 10081" sheetId="16" r:id="rId16"/>
    <sheet name="Pacificorp Huntington Pwr 10238" sheetId="17" r:id="rId17"/>
    <sheet name="Pacificorp Hunter Pwr 10237" sheetId="18" r:id="rId18"/>
    <sheet name="Phillips 66 Refinery 10123" sheetId="19" r:id="rId19"/>
    <sheet name="Sunnyside Cogen 10096" sheetId="20" r:id="rId20"/>
    <sheet name="Tom Brown 10034" sheetId="21" r:id="rId21"/>
    <sheet name="Univ of Utah 10354" sheetId="22" r:id="rId22"/>
    <sheet name="Utah State Univ 10047" sheetId="23" r:id="rId23"/>
    <sheet name="Utelite 10676" sheetId="24" r:id="rId24"/>
    <sheet name="Wasatch Constructors 12096" sheetId="25" r:id="rId25"/>
  </sheets>
  <definedNames>
    <definedName name="_xlnm.Print_Area" localSheetId="0">'Amoco Petroleum 10335'!$A$6:$AB$33</definedName>
    <definedName name="_xlnm.Print_Area" localSheetId="2">'Brush Wellman 10311'!$A$9:$AB$25</definedName>
    <definedName name="_xlnm.Print_Area" localSheetId="1">'BYU 10790'!$A$7:$AB$30</definedName>
    <definedName name="_xlnm.Print_Area" localSheetId="3">'Chevron Refinery 10119'!$A$6:$AB$46</definedName>
    <definedName name="_xlnm.Print_Area" localSheetId="4">'Davis Cnty Solid Waste 10129'!$A$6:$AB$39</definedName>
    <definedName name="_xlnm.Print_Area" localSheetId="5">'Flying J Refinery 10122'!$A$6:$AB$37</definedName>
    <definedName name="_xlnm.Print_Area" localSheetId="6">'Geneva Steel 10796'!$A$8:$AB$48</definedName>
    <definedName name="_xlnm.Print_Area" localSheetId="7">'Graymont Cricket Mtn 10313'!$A$6:$AB$48</definedName>
    <definedName name="_xlnm.Print_Area" localSheetId="8">'Holnam Devils Slide 10007'!$A$6:$AB$25</definedName>
    <definedName name="_xlnm.Print_Area" localSheetId="9">'Intermountain Power 10327'!$A$6:$AB$17</definedName>
    <definedName name="_xlnm.Print_Area" localSheetId="12">'Kennecott N Conc  10572'!$A$6:$AE$37</definedName>
    <definedName name="_xlnm.Print_Area" localSheetId="10">'Kennecott Smelter, Refine 10346'!$A$6:$AE$47</definedName>
    <definedName name="_xlnm.Print_Area" localSheetId="15">'Pacificorp Carbon Pwr 10081'!$A$6:$AB$66</definedName>
    <definedName name="_xlnm.Print_Area" localSheetId="17">'Pacificorp Hunter Pwr 10237'!$A$6:$AB$53</definedName>
    <definedName name="_xlnm.Print_Area" localSheetId="16">'Pacificorp Huntington Pwr 10238'!$A$6:$AB$45</definedName>
    <definedName name="_xlnm.Print_Area" localSheetId="18">'Phillips 66 Refinery 10123'!$A$6:$AC$45</definedName>
    <definedName name="_xlnm.Print_Area" localSheetId="19">'Sunnyside Cogen 10096'!$A$6:$AC$45</definedName>
    <definedName name="_xlnm.Print_Area" localSheetId="20">'Tom Brown 10034'!$A$6:$AC$36</definedName>
    <definedName name="_xlnm.Print_Area" localSheetId="22">'Utah State Univ 10047'!$A$6:$AB$35</definedName>
    <definedName name="_xlnm.Print_Area" localSheetId="23">'Utelite 10676'!$A$6:$AB$27</definedName>
    <definedName name="_xlnm.Print_Area" localSheetId="24">'Wasatch Constructors 12096'!$A$6:$AB$53</definedName>
    <definedName name="_xlnm.Print_Titles" localSheetId="0">'Amoco Petroleum 10335'!$B:$B</definedName>
    <definedName name="_xlnm.Print_Titles" localSheetId="2">'Brush Wellman 10311'!$B:$B</definedName>
    <definedName name="_xlnm.Print_Titles" localSheetId="1">'BYU 10790'!$B:$B</definedName>
    <definedName name="_xlnm.Print_Titles" localSheetId="3">'Chevron Refinery 10119'!$B:$B</definedName>
    <definedName name="_xlnm.Print_Titles" localSheetId="4">'Davis Cnty Solid Waste 10129'!$B:$B</definedName>
    <definedName name="_xlnm.Print_Titles" localSheetId="5">'Flying J Refinery 10122'!$B:$B</definedName>
    <definedName name="_xlnm.Print_Titles" localSheetId="6">'Geneva Steel 10796'!$B:$B</definedName>
    <definedName name="_xlnm.Print_Titles" localSheetId="7">'Graymont Cricket Mtn 10313'!$B:$B</definedName>
    <definedName name="_xlnm.Print_Titles" localSheetId="8">'Holnam Devils Slide 10007'!$B:$B</definedName>
    <definedName name="_xlnm.Print_Titles" localSheetId="9">'Intermountain Power 10327'!$B:$B</definedName>
    <definedName name="_xlnm.Print_Titles" localSheetId="12">'Kennecott N Conc  10572'!$B:$B</definedName>
    <definedName name="_xlnm.Print_Titles" localSheetId="10">'Kennecott Smelter, Refine 10346'!$B:$B</definedName>
    <definedName name="_xlnm.Print_Titles" localSheetId="15">'Pacificorp Carbon Pwr 10081'!$B:$B</definedName>
    <definedName name="_xlnm.Print_Titles" localSheetId="17">'Pacificorp Hunter Pwr 10237'!$B:$B</definedName>
    <definedName name="_xlnm.Print_Titles" localSheetId="16">'Pacificorp Huntington Pwr 10238'!$B:$B</definedName>
    <definedName name="_xlnm.Print_Titles" localSheetId="18">'Phillips 66 Refinery 10123'!$B:$B</definedName>
    <definedName name="_xlnm.Print_Titles" localSheetId="19">'Sunnyside Cogen 10096'!$B:$B</definedName>
    <definedName name="_xlnm.Print_Titles" localSheetId="20">'Tom Brown 10034'!$B:$B</definedName>
    <definedName name="_xlnm.Print_Titles" localSheetId="22">'Utah State Univ 10047'!$B:$B</definedName>
    <definedName name="_xlnm.Print_Titles" localSheetId="23">'Utelite 10676'!$B:$B</definedName>
    <definedName name="_xlnm.Print_Titles" localSheetId="24">'Wasatch Constructors 12096'!$B:$B</definedName>
  </definedNames>
  <calcPr fullCalcOnLoad="1"/>
</workbook>
</file>

<file path=xl/comments9.xml><?xml version="1.0" encoding="utf-8"?>
<comments xmlns="http://schemas.openxmlformats.org/spreadsheetml/2006/main">
  <authors>
    <author>Division of Air Quality</author>
  </authors>
  <commentList>
    <comment ref="W9" authorId="0">
      <text>
        <r>
          <rPr>
            <b/>
            <sz val="7"/>
            <rFont val="Tahoma"/>
            <family val="0"/>
          </rPr>
          <t>Emission = (Emission Factor x Hours of operation)/2000</t>
        </r>
      </text>
    </comment>
    <comment ref="W11" authorId="0">
      <text>
        <r>
          <rPr>
            <b/>
            <sz val="7"/>
            <rFont val="Tahoma"/>
            <family val="0"/>
          </rPr>
          <t>Emission = (Emission Factor x Hours of operation)/2000</t>
        </r>
      </text>
    </comment>
    <comment ref="W15" authorId="0">
      <text>
        <r>
          <rPr>
            <b/>
            <sz val="7"/>
            <rFont val="Tahoma"/>
            <family val="0"/>
          </rPr>
          <t>Emission = (Emission Factor x Hours of operation)/2000</t>
        </r>
      </text>
    </comment>
    <comment ref="W10" authorId="0">
      <text>
        <r>
          <rPr>
            <b/>
            <sz val="7"/>
            <rFont val="Tahoma"/>
            <family val="0"/>
          </rPr>
          <t>Emission = (Amount x Emission Factor)/(10^3*2000)</t>
        </r>
      </text>
    </comment>
    <comment ref="W12" authorId="0">
      <text>
        <r>
          <rPr>
            <b/>
            <sz val="7"/>
            <rFont val="Tahoma"/>
            <family val="0"/>
          </rPr>
          <t>Emission = (Amount x Emission Factor)/(10^3*2000)</t>
        </r>
      </text>
    </comment>
    <comment ref="W13" authorId="0">
      <text>
        <r>
          <rPr>
            <b/>
            <sz val="7"/>
            <rFont val="Tahoma"/>
            <family val="0"/>
          </rPr>
          <t>Emission = (Amount x Emission Factor)/(10^3*2000)</t>
        </r>
      </text>
    </comment>
    <comment ref="W14" authorId="0">
      <text>
        <r>
          <rPr>
            <b/>
            <sz val="7"/>
            <rFont val="Tahoma"/>
            <family val="0"/>
          </rPr>
          <t>Emission = (Amount x Emission Factor)/(10^3*2000)</t>
        </r>
      </text>
    </comment>
    <comment ref="W16" authorId="0">
      <text>
        <r>
          <rPr>
            <b/>
            <sz val="7"/>
            <rFont val="Tahoma"/>
            <family val="0"/>
          </rPr>
          <t>Emission = (Amount x Emission Factor)/(10^3*2000)</t>
        </r>
      </text>
    </comment>
    <comment ref="W17" authorId="0">
      <text>
        <r>
          <rPr>
            <b/>
            <sz val="7"/>
            <rFont val="Tahoma"/>
            <family val="0"/>
          </rPr>
          <t>Emission = (Amount x Emission Factor)/(10^3*2000)</t>
        </r>
      </text>
    </comment>
  </commentList>
</comments>
</file>

<file path=xl/sharedStrings.xml><?xml version="1.0" encoding="utf-8"?>
<sst xmlns="http://schemas.openxmlformats.org/spreadsheetml/2006/main" count="6369" uniqueCount="1104">
  <si>
    <t>Amoco Petroleum Products</t>
  </si>
  <si>
    <t>Regional Haze</t>
  </si>
  <si>
    <t>Site ID</t>
  </si>
  <si>
    <t>Site Name</t>
  </si>
  <si>
    <t>Salt Lake City Refinery</t>
  </si>
  <si>
    <t>Form #</t>
  </si>
  <si>
    <t xml:space="preserve">
DAQ ID</t>
  </si>
  <si>
    <t xml:space="preserve">
Pt Source
ID</t>
  </si>
  <si>
    <t xml:space="preserve">
SCC</t>
  </si>
  <si>
    <t xml:space="preserve">
Description of Process</t>
  </si>
  <si>
    <t xml:space="preserve">
NSPS (Yes/No)</t>
  </si>
  <si>
    <t xml:space="preserve">
Associated Stack ID</t>
  </si>
  <si>
    <t xml:space="preserve">
Raw Material or Fuel used</t>
  </si>
  <si>
    <t>Thruput Generating Emissions</t>
  </si>
  <si>
    <t>If Throughput is a Fuel</t>
  </si>
  <si>
    <t xml:space="preserve">
Pollutant
SOx</t>
  </si>
  <si>
    <t>Primary Control</t>
  </si>
  <si>
    <t>Secondary Control</t>
  </si>
  <si>
    <t xml:space="preserve">
Control Efficiency (%)</t>
  </si>
  <si>
    <t xml:space="preserve">
Emissions**
(tons/yr)</t>
  </si>
  <si>
    <t xml:space="preserve">
% Emissions from Breakdown</t>
  </si>
  <si>
    <t xml:space="preserve">
Estimate Code</t>
  </si>
  <si>
    <t xml:space="preserve">
Emission Factor</t>
  </si>
  <si>
    <t xml:space="preserve">
Units</t>
  </si>
  <si>
    <t xml:space="preserve">
Comments</t>
  </si>
  <si>
    <t>Heating
Value</t>
  </si>
  <si>
    <t xml:space="preserve">
Units</t>
  </si>
  <si>
    <t>%
Sulfur</t>
  </si>
  <si>
    <t>%
Ash</t>
  </si>
  <si>
    <t xml:space="preserve">
Name of
Primary Control</t>
  </si>
  <si>
    <t xml:space="preserve">
Control Code (See List)</t>
  </si>
  <si>
    <t xml:space="preserve">
Name of
Secondary Control</t>
  </si>
  <si>
    <t xml:space="preserve">
Amount</t>
  </si>
  <si>
    <t xml:space="preserve">
Units/Yr</t>
  </si>
  <si>
    <t>Design Rate</t>
  </si>
  <si>
    <t>2</t>
  </si>
  <si>
    <t>01</t>
  </si>
  <si>
    <t>crude unit furnace</t>
  </si>
  <si>
    <t>No</t>
  </si>
  <si>
    <t>plant gas</t>
  </si>
  <si>
    <t>mmscf</t>
  </si>
  <si>
    <t>H2S ppm</t>
  </si>
  <si>
    <t/>
  </si>
  <si>
    <t>SOx</t>
  </si>
  <si>
    <t>Sulfur Plant</t>
  </si>
  <si>
    <t>lbs/mmscf</t>
  </si>
  <si>
    <t>ultraformer furnace</t>
  </si>
  <si>
    <t>3</t>
  </si>
  <si>
    <t>regenerator heater</t>
  </si>
  <si>
    <t>lbs/hr</t>
  </si>
  <si>
    <t>9</t>
  </si>
  <si>
    <t>sulfur recovery unit</t>
  </si>
  <si>
    <t>Yes</t>
  </si>
  <si>
    <t>acid gas</t>
  </si>
  <si>
    <t>hr/yr</t>
  </si>
  <si>
    <t>scf/hr</t>
  </si>
  <si>
    <t>LB/HOUR</t>
  </si>
  <si>
    <t>4</t>
  </si>
  <si>
    <t>FCU/CO boiler</t>
  </si>
  <si>
    <t>mmbtu</t>
  </si>
  <si>
    <t>btu/cu ft</t>
  </si>
  <si>
    <t xml:space="preserve">Unspecified </t>
  </si>
  <si>
    <t>average CEM reading</t>
  </si>
  <si>
    <t>5</t>
  </si>
  <si>
    <t>boiler plant</t>
  </si>
  <si>
    <t xml:space="preserve">mol % H2S in gas. </t>
  </si>
  <si>
    <t>6</t>
  </si>
  <si>
    <t>ultraformer compressor</t>
  </si>
  <si>
    <t>natural gas</t>
  </si>
  <si>
    <t>hrs</t>
  </si>
  <si>
    <t>mol % H2S in gas</t>
  </si>
  <si>
    <t>7</t>
  </si>
  <si>
    <t>south flare</t>
  </si>
  <si>
    <t xml:space="preserve">mol % H2S in gas.  </t>
  </si>
  <si>
    <t>8</t>
  </si>
  <si>
    <t>north flare</t>
  </si>
  <si>
    <t xml:space="preserve">mol % H2S in fuel gas.  </t>
  </si>
  <si>
    <t>5a</t>
  </si>
  <si>
    <t>Diesel #2</t>
  </si>
  <si>
    <t>mgal</t>
  </si>
  <si>
    <t>btu/gal</t>
  </si>
  <si>
    <t>lbs/1000 gals</t>
  </si>
  <si>
    <t>User calculated based on agency's emission factor</t>
  </si>
  <si>
    <t>PLT</t>
  </si>
  <si>
    <t>Pilots</t>
  </si>
  <si>
    <t>Table 1.4-1 (10/96)</t>
  </si>
  <si>
    <t>TOTAL</t>
  </si>
  <si>
    <t>2000 Statewide SOx Sources</t>
  </si>
  <si>
    <t>bbls/day</t>
  </si>
  <si>
    <t>average CEM reading + shutdown and upsets (23.51)</t>
  </si>
  <si>
    <t>Differences between 1998 and 2000 SOx emissions.</t>
  </si>
  <si>
    <t>The % of H2S in plant gas increased.  This increased the EF from 8.5 to 9.15 lbs/mmscf.</t>
  </si>
  <si>
    <t>SCF amounts for all components except 3095, 3286, 14661, and 4350 are calculated using companies emission estimate.</t>
  </si>
  <si>
    <t xml:space="preserve">   132.8 to 163.3 for the FCU/CO boiler.</t>
  </si>
  <si>
    <t xml:space="preserve">The EF calculated from the average CEM records changed from 60.1 lbs/hour to 63.4 lbs/hour for the SRU and </t>
  </si>
  <si>
    <t>2000 SOx Sources</t>
  </si>
  <si>
    <t>Brigham Young University</t>
  </si>
  <si>
    <t>Site Name:  Main Campus</t>
  </si>
  <si>
    <t>Site ID:  10790</t>
  </si>
  <si>
    <t xml:space="preserve">
Emissions
(tons/yr)</t>
  </si>
  <si>
    <t xml:space="preserve">
% Emissions from Breakdown</t>
  </si>
  <si>
    <t xml:space="preserve">
Name of
Secondary Control</t>
  </si>
  <si>
    <t>HTHW Gen. #2,3,5 w/baghouse</t>
  </si>
  <si>
    <t>n/a</t>
  </si>
  <si>
    <t>Bituminous Coal</t>
  </si>
  <si>
    <t>tons</t>
  </si>
  <si>
    <t>10^6 btu/ton</t>
  </si>
  <si>
    <t>lbs/ton</t>
  </si>
  <si>
    <t>HTHW Generator #4</t>
  </si>
  <si>
    <t>Natural Gas</t>
  </si>
  <si>
    <t>10^6 scf</t>
  </si>
  <si>
    <t>lbs/10^6 scf</t>
  </si>
  <si>
    <t>HTHW Generator #6</t>
  </si>
  <si>
    <t>HTHW Generators 1,4,6-fuel oil</t>
  </si>
  <si>
    <t>1000 gal</t>
  </si>
  <si>
    <t>lbs/10^3 gal</t>
  </si>
  <si>
    <t>Small Gas Boiler</t>
  </si>
  <si>
    <t>10^6 btu</t>
  </si>
  <si>
    <t>Front End Loader</t>
  </si>
  <si>
    <t>Grader</t>
  </si>
  <si>
    <t>15a</t>
  </si>
  <si>
    <t>Emergency Generator</t>
  </si>
  <si>
    <t>gal</t>
  </si>
  <si>
    <t>lbs/gal</t>
  </si>
  <si>
    <t>Total SOx=</t>
  </si>
  <si>
    <t>Formula(s) for calculating emissions</t>
  </si>
  <si>
    <t>The SOx emissions in pounds per year can be determined by multiplying Thruput by emissions factors.</t>
  </si>
  <si>
    <t>The SOx emissions in tons per year can then be detemined by converting lbs to tons by dividing by 2000.</t>
  </si>
  <si>
    <t>SOx (tons/yr)= Thruput*Emissions Factor/2000</t>
  </si>
  <si>
    <t>Differences between 1996, 1998, and 2000</t>
  </si>
  <si>
    <t>% sulfur in coal changed from .515 in 1996 to .587 in 1998, and .506 in 2000</t>
  </si>
  <si>
    <t>Emission factor changed from 39 in 1996 to 38 in 2000</t>
  </si>
  <si>
    <t>EF changed from 45.3 in 1998 to 50.4 in 2000</t>
  </si>
  <si>
    <t>Brush Wellman Incorporated</t>
  </si>
  <si>
    <t>Delta Mill</t>
  </si>
  <si>
    <t>P.0. Box 815</t>
  </si>
  <si>
    <t>Delta, UT 84624</t>
  </si>
  <si>
    <t>S-10</t>
  </si>
  <si>
    <t>Small Boiler (back-up)</t>
  </si>
  <si>
    <t>#6 Fuel Oil Diesel #2</t>
  </si>
  <si>
    <t>10^6 btu/hr</t>
  </si>
  <si>
    <t>S-11</t>
  </si>
  <si>
    <t>Process Steam Boiler</t>
  </si>
  <si>
    <t>Residual Oil #5</t>
  </si>
  <si>
    <t>S-8</t>
  </si>
  <si>
    <t>Roasting Grinding</t>
  </si>
  <si>
    <t>Propane</t>
  </si>
  <si>
    <t>Baghouse</t>
  </si>
  <si>
    <t>S-9</t>
  </si>
  <si>
    <t>Sulfate Mill</t>
  </si>
  <si>
    <t>bbls/yr</t>
  </si>
  <si>
    <t>Wet Scrubber</t>
  </si>
  <si>
    <t>Scrubber</t>
  </si>
  <si>
    <t>F-6</t>
  </si>
  <si>
    <t>Diesel Combustion Equip.</t>
  </si>
  <si>
    <t>AP-42, Vol. II Table 2.7-1</t>
  </si>
  <si>
    <t>Differences between years</t>
  </si>
  <si>
    <t>No difference in EF or equipment from 1998 to 2000</t>
  </si>
  <si>
    <t>Chevron Products Co.- SL Refinery</t>
  </si>
  <si>
    <t>Salt Lake Refinery</t>
  </si>
  <si>
    <t>2351 North 1100 West</t>
  </si>
  <si>
    <t>Salt Lake City, UT 84116</t>
  </si>
  <si>
    <t>F11001/02</t>
  </si>
  <si>
    <t>Boilers #1&amp;2</t>
  </si>
  <si>
    <t>Fuel Gas/Natural Gas</t>
  </si>
  <si>
    <t>10^6 SCF</t>
  </si>
  <si>
    <t>10^6 BTU/HR</t>
  </si>
  <si>
    <t>BTU/SCF</t>
  </si>
  <si>
    <t>N/A</t>
  </si>
  <si>
    <t>Fuel Oil</t>
  </si>
  <si>
    <t>BBL</t>
  </si>
  <si>
    <t>BTU/BBL</t>
  </si>
  <si>
    <t>F11003/04</t>
  </si>
  <si>
    <t>Boilers #3&amp;4</t>
  </si>
  <si>
    <t>Boiler Temporary 32033</t>
  </si>
  <si>
    <t>F21001/02</t>
  </si>
  <si>
    <t>Crude Furnace F1&amp;F2</t>
  </si>
  <si>
    <t>F32021</t>
  </si>
  <si>
    <t>FCC Furnace F21</t>
  </si>
  <si>
    <t>F32023</t>
  </si>
  <si>
    <t>FCC Furnace F23</t>
  </si>
  <si>
    <t>F32024</t>
  </si>
  <si>
    <t>FCC Regenerator/CO Boiler</t>
  </si>
  <si>
    <t>HR</t>
  </si>
  <si>
    <t>D31001</t>
  </si>
  <si>
    <t>FCC Flare</t>
  </si>
  <si>
    <t>Flare Gas</t>
  </si>
  <si>
    <t>10^3 BBL</t>
  </si>
  <si>
    <t>lbs/10^3 bbl</t>
  </si>
  <si>
    <t>EF=26.9 lbs/Mbbls/3 flares</t>
  </si>
  <si>
    <t>F71010/30</t>
  </si>
  <si>
    <t>HDN F7110 &amp; F7130</t>
  </si>
  <si>
    <t>F35001</t>
  </si>
  <si>
    <t>Reformer Heater F1</t>
  </si>
  <si>
    <t>F35002</t>
  </si>
  <si>
    <t>Reformer Heater F2</t>
  </si>
  <si>
    <t>F35003</t>
  </si>
  <si>
    <t>Reformer Heater F3</t>
  </si>
  <si>
    <t>F36017</t>
  </si>
  <si>
    <t>Alky F3617</t>
  </si>
  <si>
    <t>Polymer Jet Naptha</t>
  </si>
  <si>
    <t>LBS</t>
  </si>
  <si>
    <t>D35014</t>
  </si>
  <si>
    <t>Alky Flare</t>
  </si>
  <si>
    <t>F7001</t>
  </si>
  <si>
    <t>Coker Furnace F7001</t>
  </si>
  <si>
    <t>D75001</t>
  </si>
  <si>
    <t>Coker Flare</t>
  </si>
  <si>
    <t>F64010</t>
  </si>
  <si>
    <t>HDS Furnace F-10</t>
  </si>
  <si>
    <t>F64011</t>
  </si>
  <si>
    <t>HDS Furnace F-11</t>
  </si>
  <si>
    <t>F6550</t>
  </si>
  <si>
    <t>Direct Flame Afterburner</t>
  </si>
  <si>
    <t>CEM</t>
  </si>
  <si>
    <t>lbs</t>
  </si>
  <si>
    <t>Reformer Compressor Drivers</t>
  </si>
  <si>
    <t>Diesel Generators</t>
  </si>
  <si>
    <t>Diesel</t>
  </si>
  <si>
    <t>BTU/gal</t>
  </si>
  <si>
    <t>lbs/10^6 BTU</t>
  </si>
  <si>
    <t>Formula(s) for calculating emissions:</t>
  </si>
  <si>
    <t xml:space="preserve">The above calculations are used with the addition of conversion factors to obtain the proper units for the </t>
  </si>
  <si>
    <t>following DAQ ID#: 3875, 3877, 3895, and 22552.</t>
  </si>
  <si>
    <t>For DAQ 3875, BBL was converted to gal using the conversion 42gal/BBL, then gal was converted to 10^3 gal.</t>
  </si>
  <si>
    <t>For same set of conversions was used for DAQ 3877 as was used for DAQ 3875.</t>
  </si>
  <si>
    <t>For DAQ 3895, lbs was converted to gal using the density of the thruput, which was 8.3454 lbs/gal.  Gal were then converted to 10^3 gal.</t>
  </si>
  <si>
    <t>For DAQ 22552, the to convert gallons of thruput to BTU was the heating value of the Diesel.</t>
  </si>
  <si>
    <t>Fuel gas % of SOx changed in 1996, 1998, and 2000</t>
  </si>
  <si>
    <t>Company Name</t>
  </si>
  <si>
    <t>Davis County Solid Waste Management</t>
  </si>
  <si>
    <t>Energy Recovery Facility (DCERF)</t>
  </si>
  <si>
    <t>Name of
Secondary Control</t>
  </si>
  <si>
    <t>12</t>
  </si>
  <si>
    <t>Front End Loaders</t>
  </si>
  <si>
    <t>hrs/yr</t>
  </si>
  <si>
    <t>lb/hr</t>
  </si>
  <si>
    <t>End Dump Trucks</t>
  </si>
  <si>
    <t>See cals</t>
  </si>
  <si>
    <t>Sweeper</t>
  </si>
  <si>
    <t>1</t>
  </si>
  <si>
    <t>mass burn refractory wall combustor</t>
  </si>
  <si>
    <t>Solid Waste</t>
  </si>
  <si>
    <t>ton/yr</t>
  </si>
  <si>
    <t>Tons/day</t>
  </si>
  <si>
    <t>Btu/lb</t>
  </si>
  <si>
    <t>DSI (trona)</t>
  </si>
  <si>
    <t>ESP</t>
  </si>
  <si>
    <t>Fire Pump</t>
  </si>
  <si>
    <t>hp-hr</t>
  </si>
  <si>
    <t>Shop Heaters</t>
  </si>
  <si>
    <t>gals/yr</t>
  </si>
  <si>
    <t>btus/gal</t>
  </si>
  <si>
    <t>lb/kgal</t>
  </si>
  <si>
    <t>1LF</t>
  </si>
  <si>
    <t>Shop Heaters-Landfill</t>
  </si>
  <si>
    <t>Forklifts</t>
  </si>
  <si>
    <t>lb/Kgal</t>
  </si>
  <si>
    <t>Generator</t>
  </si>
  <si>
    <t>lb/hp-hr</t>
  </si>
  <si>
    <t>10LF</t>
  </si>
  <si>
    <t>Off-Highway Trucks-Landfill</t>
  </si>
  <si>
    <t>11LF</t>
  </si>
  <si>
    <t>Bulldozer</t>
  </si>
  <si>
    <t>12LF</t>
  </si>
  <si>
    <t>13LF</t>
  </si>
  <si>
    <t>Scraper</t>
  </si>
  <si>
    <t>14LF</t>
  </si>
  <si>
    <t>Compactor</t>
  </si>
  <si>
    <t>15LF</t>
  </si>
  <si>
    <t>Excavator</t>
  </si>
  <si>
    <t>16LF</t>
  </si>
  <si>
    <t>Small Trucks</t>
  </si>
  <si>
    <t>Gasoline</t>
  </si>
  <si>
    <t>17LF</t>
  </si>
  <si>
    <t>Haul Truck Exh.</t>
  </si>
  <si>
    <t>18LF</t>
  </si>
  <si>
    <t>Water Truck</t>
  </si>
  <si>
    <t>Loader (same as 1017)</t>
  </si>
  <si>
    <t>9LF</t>
  </si>
  <si>
    <t>Loader-Landfill</t>
  </si>
  <si>
    <t>19LF</t>
  </si>
  <si>
    <t>20LF</t>
  </si>
  <si>
    <t>21LF</t>
  </si>
  <si>
    <t>22LF</t>
  </si>
  <si>
    <t>23LF</t>
  </si>
  <si>
    <t>Water Pump</t>
  </si>
  <si>
    <t>This source did not emit over 100 tons of SOx in 2000.</t>
  </si>
  <si>
    <t>15a sources do not appear in database.</t>
  </si>
  <si>
    <t>Changes from 1998 to 2000</t>
  </si>
  <si>
    <t>Components in the above list starting with component 2681 down were not included in the 1998 inventory.</t>
  </si>
  <si>
    <t>Site ID:</t>
  </si>
  <si>
    <t>H-402</t>
  </si>
  <si>
    <t>Crude Furnace(Vertical)</t>
  </si>
  <si>
    <t>N</t>
  </si>
  <si>
    <t>Plant Gas</t>
  </si>
  <si>
    <t>mmscf/yr</t>
  </si>
  <si>
    <t>mmbtu/hr</t>
  </si>
  <si>
    <t>btu/scf</t>
  </si>
  <si>
    <t>Y</t>
  </si>
  <si>
    <t>lb/mmscf</t>
  </si>
  <si>
    <t>H-401</t>
  </si>
  <si>
    <t>Crude Furnace(Broach)</t>
  </si>
  <si>
    <t>H-403</t>
  </si>
  <si>
    <t>Preflash Furnace</t>
  </si>
  <si>
    <t>H-501</t>
  </si>
  <si>
    <t>Vaccum Heater</t>
  </si>
  <si>
    <t>H-602</t>
  </si>
  <si>
    <t>Unifiner Stripper Heater</t>
  </si>
  <si>
    <t>H-601</t>
  </si>
  <si>
    <t>Unifiner Charge Heater</t>
  </si>
  <si>
    <t>H-621</t>
  </si>
  <si>
    <t>Reformer Heater</t>
  </si>
  <si>
    <t>BLR-1</t>
  </si>
  <si>
    <t>#1 Boiler</t>
  </si>
  <si>
    <t>BLR-2</t>
  </si>
  <si>
    <t>#2Boiler</t>
  </si>
  <si>
    <t>H-101</t>
  </si>
  <si>
    <t>TCC Heater</t>
  </si>
  <si>
    <t>H-301</t>
  </si>
  <si>
    <t>Alky Feed Heater</t>
  </si>
  <si>
    <t>D-103</t>
  </si>
  <si>
    <t>Cat. Regen. System</t>
  </si>
  <si>
    <t>1000 bbls</t>
  </si>
  <si>
    <t>tons/mbbl</t>
  </si>
  <si>
    <t>BLR-6</t>
  </si>
  <si>
    <t>#6 Boiler</t>
  </si>
  <si>
    <t>FL-1</t>
  </si>
  <si>
    <t>Flare #1</t>
  </si>
  <si>
    <t>lb/mbbl</t>
  </si>
  <si>
    <t>Engineering Judgement</t>
  </si>
  <si>
    <t>SS</t>
  </si>
  <si>
    <t>Separator</t>
  </si>
  <si>
    <t>Air</t>
  </si>
  <si>
    <t>scfm</t>
  </si>
  <si>
    <t>GB-201</t>
  </si>
  <si>
    <t>Reformer Compressors</t>
  </si>
  <si>
    <t>FL-2</t>
  </si>
  <si>
    <t>Flare #2</t>
  </si>
  <si>
    <t>H-1001</t>
  </si>
  <si>
    <t>HDS Heater</t>
  </si>
  <si>
    <t>H-1201</t>
  </si>
  <si>
    <t>MDDW Heater</t>
  </si>
  <si>
    <t>H-1002</t>
  </si>
  <si>
    <t>HDS Stripper Heater</t>
  </si>
  <si>
    <t>H-1102</t>
  </si>
  <si>
    <t>SRU Incinerator</t>
  </si>
  <si>
    <t>SOx (Tons/yr)  = (Thru-put x Emission Factor)/2000</t>
  </si>
  <si>
    <t>Sox EF changed from 5.91 lbs/mmscf in 1998 to 2.27 lbs/mmscf in 2000 due CEM calculations and Sulfur content of fuel.</t>
  </si>
  <si>
    <r>
      <t>Note:</t>
    </r>
    <r>
      <rPr>
        <sz val="10"/>
        <rFont val="Arial"/>
        <family val="0"/>
      </rPr>
      <t xml:space="preserve"> Engineering Judgement values taken from 2000 inventory</t>
    </r>
  </si>
  <si>
    <r>
      <t>Company Name:</t>
    </r>
    <r>
      <rPr>
        <b/>
        <sz val="10"/>
        <rFont val="Arial"/>
        <family val="2"/>
      </rPr>
      <t xml:space="preserve"> Flying J Inc</t>
    </r>
  </si>
  <si>
    <r>
      <t xml:space="preserve">Site Name: </t>
    </r>
    <r>
      <rPr>
        <b/>
        <sz val="10"/>
        <rFont val="Arial"/>
        <family val="2"/>
      </rPr>
      <t>Flying J North Salt Lake Refinery</t>
    </r>
  </si>
  <si>
    <r>
      <t xml:space="preserve">Site Address: </t>
    </r>
    <r>
      <rPr>
        <b/>
        <sz val="10"/>
        <rFont val="Arial"/>
        <family val="2"/>
      </rPr>
      <t>333 West Center St.</t>
    </r>
  </si>
  <si>
    <t>Geneva Steel</t>
  </si>
  <si>
    <t>Steel Manufacturing Facility</t>
  </si>
  <si>
    <t>Bin 10</t>
  </si>
  <si>
    <t>P.O. Box 2500</t>
  </si>
  <si>
    <t>Provo, UT 84603-2500</t>
  </si>
  <si>
    <t>CP2</t>
  </si>
  <si>
    <t>Coke Oven Gas Desulfurization (S.R.F.) w/ control</t>
  </si>
  <si>
    <t>Coal</t>
  </si>
  <si>
    <t>Emissions with control operational.</t>
  </si>
  <si>
    <t>Coke Oven Gas Desulfurization (S.R.F.) w/o control</t>
  </si>
  <si>
    <t>Emissions during control breakdown.</t>
  </si>
  <si>
    <t>Coke Oven Gas Desulfurization (S.R.F.) during maintenance</t>
  </si>
  <si>
    <t>Emissions during scheduled maintenance of control.</t>
  </si>
  <si>
    <t>6a</t>
  </si>
  <si>
    <t>CP7</t>
  </si>
  <si>
    <t>Coal Charging in Coke Ovens</t>
  </si>
  <si>
    <t>CP29</t>
  </si>
  <si>
    <t>Hot Oil Heater (S.R.F.)</t>
  </si>
  <si>
    <t>10^6 cf</t>
  </si>
  <si>
    <t>btu/cf</t>
  </si>
  <si>
    <t>lbs/10^6 btu</t>
  </si>
  <si>
    <t>BF4</t>
  </si>
  <si>
    <t>Stoves</t>
  </si>
  <si>
    <t>BF5</t>
  </si>
  <si>
    <t>Blast Furnace Gas</t>
  </si>
  <si>
    <t>BF8</t>
  </si>
  <si>
    <t>Fume Suppression</t>
  </si>
  <si>
    <t>lbs/10^6 cf</t>
  </si>
  <si>
    <t>QB17A</t>
  </si>
  <si>
    <t>QBOP Boiler #1</t>
  </si>
  <si>
    <t>QB18A</t>
  </si>
  <si>
    <t>QBOP Boiler #2</t>
  </si>
  <si>
    <t>PH2</t>
  </si>
  <si>
    <t>Power House Boilers</t>
  </si>
  <si>
    <t>PH3</t>
  </si>
  <si>
    <t>PH5</t>
  </si>
  <si>
    <t>RM2</t>
  </si>
  <si>
    <t>Soaking Pits</t>
  </si>
  <si>
    <t>RM4</t>
  </si>
  <si>
    <t>Reheat Furnaces</t>
  </si>
  <si>
    <t>RM9</t>
  </si>
  <si>
    <t>Ladle Preheating and Drying'</t>
  </si>
  <si>
    <t>RM11</t>
  </si>
  <si>
    <t>Tundish Preheat</t>
  </si>
  <si>
    <t>FG3</t>
  </si>
  <si>
    <t>Diesel Fuel Combustion- Mobile</t>
  </si>
  <si>
    <t>FG4</t>
  </si>
  <si>
    <t>Gasoline Fuel Combustion- Mobile</t>
  </si>
  <si>
    <t>FG6</t>
  </si>
  <si>
    <t>Back up Gen.; Admin. Bldg. (300 kW)</t>
  </si>
  <si>
    <t>hp</t>
  </si>
  <si>
    <t>FG7</t>
  </si>
  <si>
    <t>Back up Gen.; Rolling Mill (600 kW)</t>
  </si>
  <si>
    <t>FG8</t>
  </si>
  <si>
    <t>Backup Generator CP Gas Holder (35 kW)</t>
  </si>
  <si>
    <t>FG9</t>
  </si>
  <si>
    <t>Back up Gen.; Oxygen Plant (300 kW)</t>
  </si>
  <si>
    <t>FG10</t>
  </si>
  <si>
    <t>Back up Gen.; Power House (1000 kW)</t>
  </si>
  <si>
    <t>FG11</t>
  </si>
  <si>
    <t>Back up Gen.; Q-BOP (1000 kW)</t>
  </si>
  <si>
    <t>FG12</t>
  </si>
  <si>
    <t>Back up Gen.; Caster (1000 kW)</t>
  </si>
  <si>
    <t>following DAQ ID#: 3681, 4212, 4213, 4216, 4217, 4218, 4220, 4222, 4224, 1127, and 980.</t>
  </si>
  <si>
    <t xml:space="preserve">For DAQ ID# 3681, 4212, 4213, 4216, 4217, 4218, 4220, 4222, and 4224, the conversion factor used was the </t>
  </si>
  <si>
    <t xml:space="preserve">   heating value of the fuel or raw material used.</t>
  </si>
  <si>
    <t>For DAQ ID# 1127 and 980, the thruput was converted from gal to 10^3 gal by dividing gal by 1000.</t>
  </si>
  <si>
    <t>Methods of estimation remain the same in 1996, 1998 and 2000.</t>
  </si>
  <si>
    <t>Graymont Western US Incorporated</t>
  </si>
  <si>
    <t>(was Continental Lime)</t>
  </si>
  <si>
    <t>Cricket Mountain Plant</t>
  </si>
  <si>
    <t xml:space="preserve">
Emissions from Breakdown</t>
  </si>
  <si>
    <t>20</t>
  </si>
  <si>
    <t>Miscellaneous-Equip (gas)</t>
  </si>
  <si>
    <t>gal/yr</t>
  </si>
  <si>
    <t>lbs/1000 gal</t>
  </si>
  <si>
    <t>Neves Study</t>
  </si>
  <si>
    <t>Diesel #2 (Diesel)</t>
  </si>
  <si>
    <t>Haul Truck</t>
  </si>
  <si>
    <t>Lime Kiln #1 (D75)</t>
  </si>
  <si>
    <t>limestone</t>
  </si>
  <si>
    <t>tons/day</t>
  </si>
  <si>
    <t>NA</t>
  </si>
  <si>
    <t>Permit DAQE-860-97</t>
  </si>
  <si>
    <t>Lime Kiln #2 (D275)</t>
  </si>
  <si>
    <t>Lime Kiln #3 ((D375)</t>
  </si>
  <si>
    <t>12a</t>
  </si>
  <si>
    <t>13a</t>
  </si>
  <si>
    <t>Forklift</t>
  </si>
  <si>
    <t>20a</t>
  </si>
  <si>
    <t>Miscellaneous Equip.-Diesel</t>
  </si>
  <si>
    <t>151c</t>
  </si>
  <si>
    <t>Fuel for K1</t>
  </si>
  <si>
    <t>Propane - Gaseous</t>
  </si>
  <si>
    <t>AP-42, Table 1.5-2 1/95</t>
  </si>
  <si>
    <t>152c</t>
  </si>
  <si>
    <t>Fuel for K2</t>
  </si>
  <si>
    <t>153c</t>
  </si>
  <si>
    <t>Fuel for K3</t>
  </si>
  <si>
    <t>AP-42, Table 1.5-2, 1/95</t>
  </si>
  <si>
    <t>Blast ANFO</t>
  </si>
  <si>
    <t>Lime</t>
  </si>
  <si>
    <t>lbs/ton ANFO</t>
  </si>
  <si>
    <t>AP-42, Table 13.3-1</t>
  </si>
  <si>
    <t>Rotary Lime Kiln #4</t>
  </si>
  <si>
    <t>Limestone</t>
  </si>
  <si>
    <t>154c</t>
  </si>
  <si>
    <t>Fuel for Kiln #4</t>
  </si>
  <si>
    <t>AP-42, vol 2 Part 2 Table II-7.1, 1/75</t>
  </si>
  <si>
    <t>51a</t>
  </si>
  <si>
    <t>Fuel for Kiln #1</t>
  </si>
  <si>
    <t>AP-42. Table 1.3-1 9/98</t>
  </si>
  <si>
    <t>52a</t>
  </si>
  <si>
    <t>Fuel for Kiln #2</t>
  </si>
  <si>
    <t>53a</t>
  </si>
  <si>
    <t>Fuel for Kiln #3</t>
  </si>
  <si>
    <t>54a</t>
  </si>
  <si>
    <t>*Formula(s) for calculating emissions</t>
  </si>
  <si>
    <t>982, 1030, 1197, 1198, 1199, 9664, 9665, 9666,  11726, 11727, and 11728</t>
  </si>
  <si>
    <t>EF in lbs/1000 gals x (gals/year /1000 gals)/2000 lbs/ton</t>
  </si>
  <si>
    <t>(EF 22.4 lbs/hr x 2391 hr/yr / 2000 lbs/ton)  = 26.779 tons</t>
  </si>
  <si>
    <t>(EF 22.4 lbs/hr x 4485 hr/yr / 2000 lbs/ton) = 50.232 tons</t>
  </si>
  <si>
    <t>(EF 22.4 lbs/hr x 6735 hr/yr / 2000 lbs/ton) = 91.596 tons</t>
  </si>
  <si>
    <t xml:space="preserve">New components 1308 (same as 11730 without diesel), 11731, 3906, 11729, 20139)  </t>
  </si>
  <si>
    <t>Reported Diesel useage in all Kilns</t>
  </si>
  <si>
    <t xml:space="preserve">EF changes:  982 changed from 5.28 to 5.4 </t>
  </si>
  <si>
    <t xml:space="preserve">                   1030 changed from 31.2 to 31.43</t>
  </si>
  <si>
    <t xml:space="preserve">                   1197 changed from 31.1 to 30.13</t>
  </si>
  <si>
    <t xml:space="preserve">                   1198, 1199, and 9664 changed from 31.2 to 31.31</t>
  </si>
  <si>
    <t xml:space="preserve">                   9665 changed from 31.02 to 31.31</t>
  </si>
  <si>
    <t xml:space="preserve">                   9666 changerd from 31.1 to 31.03</t>
  </si>
  <si>
    <t>04--1</t>
  </si>
  <si>
    <t>Furnace (fluid catcracker)</t>
  </si>
  <si>
    <t>Mixed Fuel</t>
  </si>
  <si>
    <t>06--1</t>
  </si>
  <si>
    <t xml:space="preserve">Furnace </t>
  </si>
  <si>
    <t>06--2</t>
  </si>
  <si>
    <t>Furnace</t>
  </si>
  <si>
    <t>06--3</t>
  </si>
  <si>
    <t>07--1</t>
  </si>
  <si>
    <t>Hydrogen flouride Alkylation</t>
  </si>
  <si>
    <t>07--2</t>
  </si>
  <si>
    <t>08--1</t>
  </si>
  <si>
    <t>Crude</t>
  </si>
  <si>
    <t>09--1</t>
  </si>
  <si>
    <t>Heater</t>
  </si>
  <si>
    <t>09--2</t>
  </si>
  <si>
    <t>Reboiler</t>
  </si>
  <si>
    <t>10--2</t>
  </si>
  <si>
    <t>Solvent</t>
  </si>
  <si>
    <t>11--1</t>
  </si>
  <si>
    <t>12--1</t>
  </si>
  <si>
    <t xml:space="preserve">Napthy Hydrogen </t>
  </si>
  <si>
    <t>13--1</t>
  </si>
  <si>
    <t>Isomerization</t>
  </si>
  <si>
    <t>17--1</t>
  </si>
  <si>
    <t>SRU</t>
  </si>
  <si>
    <t>45--1</t>
  </si>
  <si>
    <t>Asphalt</t>
  </si>
  <si>
    <t>45--2</t>
  </si>
  <si>
    <t>51--4</t>
  </si>
  <si>
    <t>Boiler</t>
  </si>
  <si>
    <t>51--5</t>
  </si>
  <si>
    <t>51--6</t>
  </si>
  <si>
    <t>2000 Stack Test</t>
  </si>
  <si>
    <t>51--7</t>
  </si>
  <si>
    <t>34" Stack</t>
  </si>
  <si>
    <t>Emergency Relief</t>
  </si>
  <si>
    <t>Breakdown Reports</t>
  </si>
  <si>
    <t>51--8</t>
  </si>
  <si>
    <t>66--1</t>
  </si>
  <si>
    <t>Flare</t>
  </si>
  <si>
    <t>66--2</t>
  </si>
  <si>
    <t>Flaring</t>
  </si>
  <si>
    <t>CEM EF changed from 2.393 to 2.937</t>
  </si>
  <si>
    <t xml:space="preserve">2672 2000 stack test changed EF from 123.76 in 1998 to 95.8 in 2000 </t>
  </si>
  <si>
    <t>Component 3707 was removed from facility.</t>
  </si>
  <si>
    <t>4345 monitored off fuel gas drum, used CEM factor.</t>
  </si>
  <si>
    <t>4346 used for upset only.</t>
  </si>
  <si>
    <r>
      <t xml:space="preserve">Company Name:  </t>
    </r>
    <r>
      <rPr>
        <b/>
        <sz val="10"/>
        <rFont val="Arial"/>
        <family val="2"/>
      </rPr>
      <t>Phillips 66 Refinery</t>
    </r>
  </si>
  <si>
    <r>
      <t>Site Name:</t>
    </r>
    <r>
      <rPr>
        <b/>
        <sz val="10"/>
        <rFont val="Arial"/>
        <family val="2"/>
      </rPr>
      <t xml:space="preserve"> Phillips 66 Woods Cross Facility</t>
    </r>
  </si>
  <si>
    <r>
      <t xml:space="preserve">Site Address: </t>
    </r>
    <r>
      <rPr>
        <b/>
        <sz val="10"/>
        <rFont val="Arial"/>
        <family val="2"/>
      </rPr>
      <t>393 South 800 West</t>
    </r>
  </si>
  <si>
    <r>
      <t>10^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cu ft/yr</t>
    </r>
  </si>
  <si>
    <r>
      <t>10^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btu/hr</t>
    </r>
  </si>
  <si>
    <r>
      <t>lb/10^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cu ft</t>
    </r>
  </si>
  <si>
    <r>
      <t>10^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cu ft</t>
    </r>
  </si>
  <si>
    <t>Holnam Inc.</t>
  </si>
  <si>
    <t>Devils Slide Plant</t>
  </si>
  <si>
    <t>Site Address</t>
  </si>
  <si>
    <t>6055 E. Croydon RD</t>
  </si>
  <si>
    <t>Morgan, UT 84050</t>
  </si>
  <si>
    <t>421-BF1</t>
  </si>
  <si>
    <t>Kiln Fuel</t>
  </si>
  <si>
    <t>Hrs/yr</t>
  </si>
  <si>
    <t>Stack test 4/1998</t>
  </si>
  <si>
    <t>Front end loader</t>
  </si>
  <si>
    <t>AP-42 2.7 table 1</t>
  </si>
  <si>
    <t>Shovel</t>
  </si>
  <si>
    <t>Hr/yr</t>
  </si>
  <si>
    <t>End Dump Truck</t>
  </si>
  <si>
    <t>Bull Dozer (track type)</t>
  </si>
  <si>
    <t>State suggested factor</t>
  </si>
  <si>
    <t>Tractors</t>
  </si>
  <si>
    <t>Other (unspecified)</t>
  </si>
  <si>
    <t>Emissions = (Emission Factor x Fuel used) / 2000</t>
  </si>
  <si>
    <t>Emissions = (Emission Factor x Hours of Operation) / 2000</t>
  </si>
  <si>
    <t>21425 EF changed from .08 to .46</t>
  </si>
  <si>
    <t>Intermountain Power Service Corp.</t>
  </si>
  <si>
    <t>2000 Statewide SOx Source</t>
  </si>
  <si>
    <t>Intermountain Generation Station</t>
  </si>
  <si>
    <t>Boiler-Coal fired</t>
  </si>
  <si>
    <t>tons/yr</t>
  </si>
  <si>
    <t>magawatts</t>
  </si>
  <si>
    <t>btu/lb</t>
  </si>
  <si>
    <t>02</t>
  </si>
  <si>
    <t>01.0a</t>
  </si>
  <si>
    <t>gals/year</t>
  </si>
  <si>
    <t>02.0a</t>
  </si>
  <si>
    <t>Source rounded the diesel use in the boilers to nearest whole number.</t>
  </si>
  <si>
    <t>Kennecott Utah Copper Corporation</t>
  </si>
  <si>
    <t>Smelter, Refinery</t>
  </si>
  <si>
    <t>12000 West 2100 South</t>
  </si>
  <si>
    <t>Magna, UT 84044</t>
  </si>
  <si>
    <t>Thruput Generating Emissions*</t>
  </si>
  <si>
    <t>Hours of Operation</t>
  </si>
  <si>
    <t>Engine Power (hp)</t>
  </si>
  <si>
    <t>kW used</t>
  </si>
  <si>
    <t>2,3</t>
  </si>
  <si>
    <t>REF002/REF003</t>
  </si>
  <si>
    <t>Boilers</t>
  </si>
  <si>
    <t>yes</t>
  </si>
  <si>
    <t>REF002</t>
  </si>
  <si>
    <t>lbs/10^6 cu ft</t>
  </si>
  <si>
    <t>REF002b/REF003b</t>
  </si>
  <si>
    <t>10^3 gal/yr</t>
  </si>
  <si>
    <t>REF006</t>
  </si>
  <si>
    <t>Hydro. Precious</t>
  </si>
  <si>
    <t>no</t>
  </si>
  <si>
    <t>Sodium based scrubber</t>
  </si>
  <si>
    <t>Stack Test 05/00</t>
  </si>
  <si>
    <t>REFi210</t>
  </si>
  <si>
    <t>PM Emergency Generator</t>
  </si>
  <si>
    <t>lbs/1,000 hp-hr</t>
  </si>
  <si>
    <t>SME008</t>
  </si>
  <si>
    <t>Acid Plant Preheater</t>
  </si>
  <si>
    <t>SME011</t>
  </si>
  <si>
    <t>Included in stack 11</t>
  </si>
  <si>
    <t>Copper Smelting (Main Stack)</t>
  </si>
  <si>
    <t>Copper Concentrate</t>
  </si>
  <si>
    <t>DC Acid Plant</t>
  </si>
  <si>
    <t>Secondary Scrubber</t>
  </si>
  <si>
    <t>Multiple Sources, CEM</t>
  </si>
  <si>
    <t>SME026</t>
  </si>
  <si>
    <t>Powerhouse Holman boiler</t>
  </si>
  <si>
    <t>Includes 3.508 mmcf of Propane</t>
  </si>
  <si>
    <t>SMELH</t>
  </si>
  <si>
    <t>Laundry Heaters</t>
  </si>
  <si>
    <t>SMEAF</t>
  </si>
  <si>
    <t>Anode  Furnace Scrubber Breakdowns- Fugitive</t>
  </si>
  <si>
    <t>Blister Copper &amp; Natural Gas</t>
  </si>
  <si>
    <t>Rough Estimate of 4,826 lbs lost</t>
  </si>
  <si>
    <t>SMEAP</t>
  </si>
  <si>
    <t>Acid Plant Super Heater Leak / Breakdown</t>
  </si>
  <si>
    <t>Smelting Process Gas</t>
  </si>
  <si>
    <t>Rough Estimate of 792 lbs lost</t>
  </si>
  <si>
    <t>SMEF</t>
  </si>
  <si>
    <t>Smelter- Fugitives</t>
  </si>
  <si>
    <t>Process Gas</t>
  </si>
  <si>
    <t>Emission Factor is NIO annual avg.</t>
  </si>
  <si>
    <t>SMESH</t>
  </si>
  <si>
    <t>Building Heaters</t>
  </si>
  <si>
    <t>SMEWH</t>
  </si>
  <si>
    <t>Water Heaters</t>
  </si>
  <si>
    <t>SMEgen1</t>
  </si>
  <si>
    <t>Emergency Backup Power Generator</t>
  </si>
  <si>
    <t>Grams/kW-hr</t>
  </si>
  <si>
    <t>AP-42 3.4-1</t>
  </si>
  <si>
    <t>SMEgen2</t>
  </si>
  <si>
    <t>Total SOx</t>
  </si>
  <si>
    <t>E = Emissions</t>
  </si>
  <si>
    <t>F = Fuel used</t>
  </si>
  <si>
    <t>EF = Emission Factor</t>
  </si>
  <si>
    <t>Hr = Hours of operation</t>
  </si>
  <si>
    <t>CF = Conversion Factor</t>
  </si>
  <si>
    <t>HP =Horse Power</t>
  </si>
  <si>
    <t>kW = kiloWatts used</t>
  </si>
  <si>
    <t>S = %sulfer in fuel</t>
  </si>
  <si>
    <t>The following are the various equations used to determine the actual emissions.</t>
  </si>
  <si>
    <t>E = EF x F x CF</t>
  </si>
  <si>
    <t>E = EF x Hr x CF</t>
  </si>
  <si>
    <t>E = EF x kW x Hr x S x CF</t>
  </si>
  <si>
    <t>E = EF x HP x Hr x CF</t>
  </si>
  <si>
    <t>Changes between 1998 and 2000</t>
  </si>
  <si>
    <t>14097 and 14524 are not in the 2000 inventory.</t>
  </si>
  <si>
    <t>13974 was not in the 1998 inventory</t>
  </si>
  <si>
    <t>EF for 13969 changed from 178.5 in 1998 to 176.5 in 2000</t>
  </si>
  <si>
    <t>EF for 13998 changed from .002 in 1998 to .001 in 2000.</t>
  </si>
  <si>
    <t>EF for 14095 and 14096 changed from .000246 kg/kw-hr to 4.92 grams/kw-hr</t>
  </si>
  <si>
    <t xml:space="preserve">EF 14105 changed from 2.1 lbs/1000 hp-hr to 2.2 lbs/1000 hp-hr </t>
  </si>
  <si>
    <t>EF 18017 was not provided in 1998.</t>
  </si>
  <si>
    <t>Mine &amp; Copperton Concentrator</t>
  </si>
  <si>
    <t>8362 W 10200 S</t>
  </si>
  <si>
    <t>Bingham Canyon, UT 84006</t>
  </si>
  <si>
    <t>No of Vehicles</t>
  </si>
  <si>
    <t>CPT02</t>
  </si>
  <si>
    <t>Moly Rotary Kiln</t>
  </si>
  <si>
    <t>Fuel Oil #4</t>
  </si>
  <si>
    <t>ppm</t>
  </si>
  <si>
    <t>see calculations</t>
  </si>
  <si>
    <t>CPT03</t>
  </si>
  <si>
    <t>Fd Mo Dryer Heater</t>
  </si>
  <si>
    <t>10^6 cu ft/yr</t>
  </si>
  <si>
    <t>CPT10</t>
  </si>
  <si>
    <t>Rotary Kiln Heater</t>
  </si>
  <si>
    <t>CPT12</t>
  </si>
  <si>
    <t>Feed Moly Dryer Heater</t>
  </si>
  <si>
    <t>BCM1.18</t>
  </si>
  <si>
    <t>Diesel Engines</t>
  </si>
  <si>
    <t>% weight</t>
  </si>
  <si>
    <t>SO2 Emissions = (SO2 Conc(ppm)/10^6)*Vol Flow(scfm)*9.77*24*365/2000</t>
  </si>
  <si>
    <t xml:space="preserve">      Vol Flow(scfm) = 91630.41* sqrt(dif press/temp(deg R))</t>
  </si>
  <si>
    <t>N Concentrator,Power Plt, Lab, Tailings Impoundmnt</t>
  </si>
  <si>
    <t>9600 West 2100 South</t>
  </si>
  <si>
    <t>UUP001</t>
  </si>
  <si>
    <t>Boiler #1</t>
  </si>
  <si>
    <t>Bitumous Coal</t>
  </si>
  <si>
    <t>Low-Sulfer Coal</t>
  </si>
  <si>
    <t>% Sulfer in coal</t>
  </si>
  <si>
    <t>UPP002</t>
  </si>
  <si>
    <t>Boiler #2</t>
  </si>
  <si>
    <t>UUP003</t>
  </si>
  <si>
    <t>Boiler #3</t>
  </si>
  <si>
    <t>UUP004</t>
  </si>
  <si>
    <t>Boiler #4</t>
  </si>
  <si>
    <t>UUP101</t>
  </si>
  <si>
    <t>10^6 cu ft</t>
  </si>
  <si>
    <t>UUP102</t>
  </si>
  <si>
    <t>UUP103</t>
  </si>
  <si>
    <t>UUP104</t>
  </si>
  <si>
    <t>For all Natural Gas used in the Boilers</t>
  </si>
  <si>
    <t>For all bitumous coal used in the Boilers</t>
  </si>
  <si>
    <t>E = coal used x %Sulfer x 2*</t>
  </si>
  <si>
    <t>* This is to account for oxygen modecule forming SO2.</t>
  </si>
  <si>
    <t xml:space="preserve">      % of sulfur in coal changed from 35% to 36%.</t>
  </si>
  <si>
    <t xml:space="preserve">      13943, 13944, and 14148 not included in 2000.  Total emissions in 1998 from these components 0.01.</t>
  </si>
  <si>
    <t>LDS Hospital</t>
  </si>
  <si>
    <t>Power Plant</t>
  </si>
  <si>
    <t>325 8th Avenue</t>
  </si>
  <si>
    <t>Salt Lake City, UT 84143</t>
  </si>
  <si>
    <t>Gas Boiler</t>
  </si>
  <si>
    <t>10^3 cu ft</t>
  </si>
  <si>
    <t>10^6 btu/yr</t>
  </si>
  <si>
    <t>lb/10^6 std cu ft</t>
  </si>
  <si>
    <t>Gas Boiler #2</t>
  </si>
  <si>
    <t>Magnesium Corporation of America</t>
  </si>
  <si>
    <t>Rowley Plant</t>
  </si>
  <si>
    <t>238 North 2200 West</t>
  </si>
  <si>
    <t>Boiler, Reilly</t>
  </si>
  <si>
    <t>10^6 scf/yr</t>
  </si>
  <si>
    <t>lb/10^6 scf</t>
  </si>
  <si>
    <t>Pump Engine P-0-W, Stans</t>
  </si>
  <si>
    <t>Pump Engine P-11E, Stans</t>
  </si>
  <si>
    <t>Pump Engine P-2-N, Stans</t>
  </si>
  <si>
    <t>Pump Engine P-2-C, Stans</t>
  </si>
  <si>
    <t>Pump Engine P-2-S, Stans</t>
  </si>
  <si>
    <t>Furnace, #1</t>
  </si>
  <si>
    <t>Pump Engine P-3-E, Stans</t>
  </si>
  <si>
    <t>Pump Engine P-3-W, Stans</t>
  </si>
  <si>
    <t>Pump Engine P-5, Stans</t>
  </si>
  <si>
    <t>Pump Engine P-4, Stans</t>
  </si>
  <si>
    <t>Pump Engine P-6, Stans</t>
  </si>
  <si>
    <t>Pump Engine P-7, Stans</t>
  </si>
  <si>
    <t>Pump Engine P-9, Stans</t>
  </si>
  <si>
    <t>Pump Engine P-10-E, Stans</t>
  </si>
  <si>
    <t>Pump Engine P-10-W, Stans</t>
  </si>
  <si>
    <t>Pump Engine P-11-C,Stans</t>
  </si>
  <si>
    <t>Furnace, #2</t>
  </si>
  <si>
    <t>Pump Engine P-11-W, Stans</t>
  </si>
  <si>
    <t>Anode Oven, Casthouse</t>
  </si>
  <si>
    <t>Furnace, #3</t>
  </si>
  <si>
    <t>Furnace, #4</t>
  </si>
  <si>
    <t>Furnace, #5</t>
  </si>
  <si>
    <t>Furnace, #6</t>
  </si>
  <si>
    <t>Furnace, #7</t>
  </si>
  <si>
    <t>Furnace, #8</t>
  </si>
  <si>
    <t>Furnace, #9</t>
  </si>
  <si>
    <t>Furnace, #10</t>
  </si>
  <si>
    <t>Furnace, #11</t>
  </si>
  <si>
    <t>Pump Engine 12, Stans</t>
  </si>
  <si>
    <t>Pump Engine 1-2, Knolls</t>
  </si>
  <si>
    <t>Lister Generator #3, Stans</t>
  </si>
  <si>
    <t>Generator #1, Stans</t>
  </si>
  <si>
    <t>Generator #2, Knolls</t>
  </si>
  <si>
    <t>Generator, Lister #2, Stans</t>
  </si>
  <si>
    <t>Pump Engine P-0-E, Stans</t>
  </si>
  <si>
    <t>Pump Engine P-1-W, Stans</t>
  </si>
  <si>
    <t>Pump Engine P-1-E, Stans</t>
  </si>
  <si>
    <t>Stack, Melt/Reactor</t>
  </si>
  <si>
    <t>lb/10^6 btu</t>
  </si>
  <si>
    <t>Stack, Lg. Casthouse</t>
  </si>
  <si>
    <t>Sulfur</t>
  </si>
  <si>
    <t>Turbine, 01</t>
  </si>
  <si>
    <t>Turbine, 02</t>
  </si>
  <si>
    <t>10^3 gal</t>
  </si>
  <si>
    <t>10^6 gal/yr</t>
  </si>
  <si>
    <t>Turbine, 03</t>
  </si>
  <si>
    <t>Pickup Trucks and In-Plant Vans</t>
  </si>
  <si>
    <t>Graders</t>
  </si>
  <si>
    <t>Bulldozer (track type)</t>
  </si>
  <si>
    <t>Other Diesel Powered- Fork Lifts, Welders, Cranes</t>
  </si>
  <si>
    <t>Ponds Truck</t>
  </si>
  <si>
    <t>Pot Carriers</t>
  </si>
  <si>
    <t>Rowley Plant Heavy Trucks</t>
  </si>
  <si>
    <t>Backhoe</t>
  </si>
  <si>
    <t>UTA Vans and Overtime Car</t>
  </si>
  <si>
    <t>units that used diesel as a fuel on form 3.</t>
  </si>
  <si>
    <t>The Thruput was in terms of hrs/yr each unit was used.  The thurput was then multiplied by the hp rating</t>
  </si>
  <si>
    <t xml:space="preserve">for each unit to obtain the units of hp-hr/yr.  This created the correct units for the standard equation above </t>
  </si>
  <si>
    <t>so that SOx emissions in tons/yr were obtained.</t>
  </si>
  <si>
    <t xml:space="preserve">PacifiCorp                              </t>
  </si>
  <si>
    <t xml:space="preserve">                           </t>
  </si>
  <si>
    <t>Carbon Power Plant</t>
  </si>
  <si>
    <t xml:space="preserve">                                     </t>
  </si>
  <si>
    <t>Dry bottom tangentially fired utility boiler</t>
  </si>
  <si>
    <t>Tons/year</t>
  </si>
  <si>
    <t>lbs/mmbtu</t>
  </si>
  <si>
    <t>CEMS</t>
  </si>
  <si>
    <t>Gals/year</t>
  </si>
  <si>
    <t>lb/1000 gals</t>
  </si>
  <si>
    <t>1.3-2</t>
  </si>
  <si>
    <t>67</t>
  </si>
  <si>
    <t>off-hwy trucks (2)</t>
  </si>
  <si>
    <t>Hours/year</t>
  </si>
  <si>
    <t>Emergency diesel generator</t>
  </si>
  <si>
    <t>Btu/gal</t>
  </si>
  <si>
    <t>Table 3.3-2 pg. 3.3</t>
  </si>
  <si>
    <t>13</t>
  </si>
  <si>
    <t>Emergency diesel fire pump</t>
  </si>
  <si>
    <t>AP-42 Table 3.3-2, pg 3.3</t>
  </si>
  <si>
    <t>((0.634 lbs/mmbtu x 217799 tons/year of coal x 2000 lbs/ton x 12359 btu/lb) / 2000 lbs/ton) / 1000000 = 1706.59</t>
  </si>
  <si>
    <t>((0.658 lbs/mmbtu x 404108 tons/year of coal x 2000 lbs/ton x 12348 btu/lb) / 2000 lbs/ton) / 1000000 = 3283.37</t>
  </si>
  <si>
    <t>(7.85 lbs/1000 gals x 37677 gals/year / 1000 gals)/ 2000 lbs/ton = 0.15</t>
  </si>
  <si>
    <t>(7.85 lbs/1000 gals x 16485 gals/year / 1000 gals)/ 2000 lbs/ton = 0.06</t>
  </si>
  <si>
    <t>((0.45 Lbs/hour x 2080 hour/year) /2000 lbs/ton) =.47</t>
  </si>
  <si>
    <t>(.0021 lb/hp/hr x 15 hr/year x 250 hp)/2000 lbs/ton = .0</t>
  </si>
  <si>
    <t>(.0021 lb/hp/hr x 18 hr/year x 250 hp)/2000 lbs/ton = 0.0</t>
  </si>
  <si>
    <t>Differences between 1998 and 2000</t>
  </si>
  <si>
    <t>The heating value of the coal changed from 12132 in 1998 to 12359 in 2000 and 12122 in 1998 to 12348 in 2000</t>
  </si>
  <si>
    <t>The 3974 CEM value changed from .594 in 1998 to .634 in 2000.</t>
  </si>
  <si>
    <t>Ash content of coal in 3974 changed from 9.82 in 1998 to 8.01 in 2000</t>
  </si>
  <si>
    <t>Ash content of coal in 3976 changed from 9.83 in 1998 to 8.12 in 2000</t>
  </si>
  <si>
    <t>The 3976 CEM value changed from .596 in 1998 to .658 in 2000</t>
  </si>
  <si>
    <t>EF for 8910 and 8911 changed from 7 lbs/10^3 gals to 7.85 lbs/10^3 gals.</t>
  </si>
  <si>
    <t>Sulfur % in 8910 and 8911 changed from .1 to .05</t>
  </si>
  <si>
    <t>Huntington Power Plant</t>
  </si>
  <si>
    <t>Name of
Primary Control</t>
  </si>
  <si>
    <t>dry bottom tangentially fired utility boiler</t>
  </si>
  <si>
    <t>tons/year</t>
  </si>
  <si>
    <t>tons/hour</t>
  </si>
  <si>
    <t>btu/pound</t>
  </si>
  <si>
    <t>lb/mmbtu</t>
  </si>
  <si>
    <t>1000 gal/year</t>
  </si>
  <si>
    <t>AP-42 Table 1.3-4</t>
  </si>
  <si>
    <t>hours/year</t>
  </si>
  <si>
    <t xml:space="preserve">lbs/hour </t>
  </si>
  <si>
    <t>DAQ suggested factor</t>
  </si>
  <si>
    <t>15</t>
  </si>
  <si>
    <t>Auxiliary Steam Boiler for Unit #1</t>
  </si>
  <si>
    <t>Distillate Fuel Oil</t>
  </si>
  <si>
    <t>gals/hour</t>
  </si>
  <si>
    <t>16</t>
  </si>
  <si>
    <t>Auxiliary Steam Boiler for Unit #2</t>
  </si>
  <si>
    <t>Emergency generator diesel engine for Unit #1</t>
  </si>
  <si>
    <t>Table 3.3-2</t>
  </si>
  <si>
    <t>Emergency generator diesel engine for Unit #2</t>
  </si>
  <si>
    <t>14</t>
  </si>
  <si>
    <t>Emergency fire pump diesel engine</t>
  </si>
  <si>
    <t>Total</t>
  </si>
  <si>
    <t>0.107 lbs/mmcf x 11911 btu/lb x 1507488 tons of coal x 2000 lbs/ton / 1000000 btu /2000 lbs/ton = 1921.26</t>
  </si>
  <si>
    <t>7.85 lbs/1000 gals x 229.585 1000 gals/year / 2000 lbs/ton = 0.90</t>
  </si>
  <si>
    <t>0.660 lbs/mmcf x 11908 btu/lb x 1516187 tons of coal x 2000 lbs/ton / 1000000 btu /2000 lbs/ton = 11,916.14</t>
  </si>
  <si>
    <t>7.85 lbs/1000 gals x 161.119 1000 gals/year / 2000 lbs/ton = .63</t>
  </si>
  <si>
    <t>(0.45 lbs/hr x 2080 hours/year / 2000) = 0.47</t>
  </si>
  <si>
    <t>7 lbs/1000 gals x 5.88 1000 gal/year / 2000 lbs/ton = .02</t>
  </si>
  <si>
    <t>7 lbs/1000 gals x 1.3 1000 gal/year / 2000 = .0045</t>
  </si>
  <si>
    <t>0.0004 lb/hp-hr x 49 hr/yr x 1155 hp / 2000 lbs/ton = .01</t>
  </si>
  <si>
    <t>0.0004 lb/hp-hr x 48 hr/yr x 1155 hp / 2000 lbs/ton = .01</t>
  </si>
  <si>
    <t>0.0021 lb/hp-hr x 112 hr/yr x 250 hp / 2000 lbs/ton = .03</t>
  </si>
  <si>
    <t>Changes from 1998 to 2000.</t>
  </si>
  <si>
    <t xml:space="preserve">4032 Heating value of coal changed from 11291 in 1998 to 11911 in 2000 </t>
  </si>
  <si>
    <t>4032 sulfur in coal changed from .43 in 1998 to .4 in 2000</t>
  </si>
  <si>
    <t>4032 ash content changed fromm 14.51 in 1998 to 9.79 in 2000.</t>
  </si>
  <si>
    <t>4032 CEM emission factor changed from .137 in 1998 to .107in 2000.</t>
  </si>
  <si>
    <t>The heating value of diesel in 4033, 4035, 13721 and 13720 was changed from 140000 in 1998 to 40000 in 2000.</t>
  </si>
  <si>
    <t>4033, 4035, 13720, and 13721 EFs changed from  7 lbs/10^3 gals in 1998 to 7.85 lbs/10^3 in 2000.</t>
  </si>
  <si>
    <t>4034 EF changed from .679 in 1998 to .660 in 2000</t>
  </si>
  <si>
    <t>4034 Heating value of the coal changed from 11203 in 1998 to 11908 in 2000.</t>
  </si>
  <si>
    <t>4034 sulfur content in coal changed from .43 in 1998 to .4 in 2000</t>
  </si>
  <si>
    <t>4034 ash content changed from 15.01 in 1998 to 9.81 in 2000</t>
  </si>
  <si>
    <t>13732 sulfur content in diesel changed from .1 in 1998 to .05 in 2000.</t>
  </si>
  <si>
    <t>13730 and 13731 EF changed from .0021 in 1998 to .0004 in 2000.</t>
  </si>
  <si>
    <t>Hunter Power Plant</t>
  </si>
  <si>
    <t xml:space="preserve">
Name of
Primary Control</t>
  </si>
  <si>
    <t>utility boiler (coal fueled)</t>
  </si>
  <si>
    <t>ton/hour</t>
  </si>
  <si>
    <t>Gas scrubber</t>
  </si>
  <si>
    <t>utility boiler (oil fueled)</t>
  </si>
  <si>
    <t>gal/year</t>
  </si>
  <si>
    <t>AP-42 Table 1.3-2</t>
  </si>
  <si>
    <t>lbs/hour</t>
  </si>
  <si>
    <t>DAQ suggested</t>
  </si>
  <si>
    <t>Auxiliary steam boiler for Unit #1</t>
  </si>
  <si>
    <t>gal/hour</t>
  </si>
  <si>
    <t>Emergency diesel generator for Unit #1</t>
  </si>
  <si>
    <t>AP-42 Table 3.3-2</t>
  </si>
  <si>
    <t>Emergency diesel generator for Unit #2</t>
  </si>
  <si>
    <t>17</t>
  </si>
  <si>
    <t>Emergency diesel generator for Unit #3</t>
  </si>
  <si>
    <t>19</t>
  </si>
  <si>
    <t>Emergency diesel fire pump #2</t>
  </si>
  <si>
    <t>Emergency diesel fire pump #1</t>
  </si>
  <si>
    <t xml:space="preserve">  </t>
  </si>
  <si>
    <t>(EF .135 lbs/mmbtu x (1240216 tons coal x 2000 lb/ton) x (12137 lb/btu/1000000 btu)) / 2000 lbs/ton = 2032.09.</t>
  </si>
  <si>
    <t>(EF 7.85 lbs/1000gal x (185816 gal/year / 1000 gals)/  2000 lbs/ton = 0.73</t>
  </si>
  <si>
    <t>(EF .107 lbs/mmbtu x (1407586 tons coal x 2000 lb/ton) x (12031 bl/btu/1000000 btu)) / 2000 lbs/ton = 1812.01</t>
  </si>
  <si>
    <t>(EF 7 .85 lbs/1000gal x (152424 gal/year / 1000 gals)/  2000 lbs/ton = 0.60</t>
  </si>
  <si>
    <t>(EF .063 lbs/mmbtu x (1486021 tons coal x 2000 lb/ton) x (11883 lb/btu/1000000 btu)) / 2000 lbs/ton = 1112.48</t>
  </si>
  <si>
    <t>(EF 7.85 lbs/1000gal x 359745 gal/year / 1000 gals)/  2000 lbs/ton =1.41</t>
  </si>
  <si>
    <t>(EF .45 lbs/hour x 2080 hr/yr / 2000) = .47</t>
  </si>
  <si>
    <t>(EF 7 lbs/1000gal x (0 gal/year / 1000 gals)/  2000 lbs/ton = 0</t>
  </si>
  <si>
    <t>13704 and 13705</t>
  </si>
  <si>
    <t>(EF 0.0004 lb/hp-hr x 26 hours/year x 1070 hp) /2000 lbs/ton = 0.006</t>
  </si>
  <si>
    <t>(EF 0.0004 lb/hp-hr x 52 hours/year x 915 hp) /2000 lbs/ton = 0.0095</t>
  </si>
  <si>
    <t>(EF 0.00205 lb/hp-hr x 52 hours/year x 167 hp) /2000 lbs/ton = 0.0089</t>
  </si>
  <si>
    <t>(EF 0.00205 b/hp-hr x 52 hours/year x 180 hp) /2000 lbs/ton = 0.0096</t>
  </si>
  <si>
    <t>4029, 4031 and 4027 EF changed from 7 in 1998 to 7.85 in 2000.</t>
  </si>
  <si>
    <t>4026 heating value of coal changed from 11832 in 1998 to 12137 in 2000</t>
  </si>
  <si>
    <t>4026 CEM EF changed from .136 in 1998 to 0.135 in 2000.</t>
  </si>
  <si>
    <t>4026 ash changed from 11.67 in 1998 to 8.97 in 2000</t>
  </si>
  <si>
    <t>4027, 4029, 4031, 13693 heating value changed from 140000 in 1998 to 40000 in 2000</t>
  </si>
  <si>
    <t>4028 heating value of coal changed from 11665 in 1998 to 12031 in 2000.</t>
  </si>
  <si>
    <t>4028 sulfur content of coal changed from 0.55 in 1998 to 0.45 in 2000.</t>
  </si>
  <si>
    <t>4028 ash changed from 12.11 in 1998 to 10.2 in 2000.</t>
  </si>
  <si>
    <t>4028 CEM EF changed from .140 in 1998 to .107 in 2000.</t>
  </si>
  <si>
    <t>4030 heating value of coal changed from 11545 in 1998 to 11883 in 2000.</t>
  </si>
  <si>
    <t>4030 sulfur content changed from .46 in 1998 to .45 in 2000</t>
  </si>
  <si>
    <t>4030 ash changed from 12.17 in 1998 to 10.5 in 2000.</t>
  </si>
  <si>
    <t>4030 CEM EF changed from .066 in 1998 to .063 in 2000.</t>
  </si>
  <si>
    <t>13704, 13705, and 13707 EF changed from .0021 in 1998 to .0004 in 2000.</t>
  </si>
  <si>
    <t>13709 EF changed from .0021 in 1998 to .00205 in 2000.</t>
  </si>
  <si>
    <t>13708 was not included in 1998.</t>
  </si>
  <si>
    <t>Sunnyside Cogeneration Associates</t>
  </si>
  <si>
    <t>Sunnyside Cogeneration Facility</t>
  </si>
  <si>
    <t>P.O. Box 10</t>
  </si>
  <si>
    <t>East Carbon, Utah 84520</t>
  </si>
  <si>
    <t>CFBC Boiler/Turbine</t>
  </si>
  <si>
    <t>Processed Coal</t>
  </si>
  <si>
    <t>ton</t>
  </si>
  <si>
    <t>ton/hr</t>
  </si>
  <si>
    <t>FBC w/ Limeston Additive</t>
  </si>
  <si>
    <t>Boiler Baghouse</t>
  </si>
  <si>
    <t>1.0A</t>
  </si>
  <si>
    <t>Diesel Fuel</t>
  </si>
  <si>
    <t>gal/hr</t>
  </si>
  <si>
    <t>lb/1000 gal</t>
  </si>
  <si>
    <t>AP 42, Section 1.3</t>
  </si>
  <si>
    <t>Diesel Generator/Welder</t>
  </si>
  <si>
    <t>AP 42, Section 1.4</t>
  </si>
  <si>
    <t>SCA-1</t>
  </si>
  <si>
    <t>AP-42, Tables II-7.1 and II-7.2</t>
  </si>
  <si>
    <t>JD250</t>
  </si>
  <si>
    <t>AP-42, Tables II-7.1 and II-7.3</t>
  </si>
  <si>
    <t>S854</t>
  </si>
  <si>
    <t>Diesel Trucks</t>
  </si>
  <si>
    <t>AP-42, Tables II-7.1 and II-7.4</t>
  </si>
  <si>
    <t>Loaders</t>
  </si>
  <si>
    <t>AP-42, Tables II-7.1 and II-7.5</t>
  </si>
  <si>
    <t>Y38</t>
  </si>
  <si>
    <t>AP-42, Tables II-7.1 and II-7.6</t>
  </si>
  <si>
    <t>The above calculations are used with the addition of conversion factors to obtain the proper units for</t>
  </si>
  <si>
    <t>DAQ ID# 11096, 11097, 11098, 168829, 171135, 171136, 171137, and 168826.</t>
  </si>
  <si>
    <t>For DAQ ID 11096, the conversion factors used are multiplying by 2000 to convert the thruput from tons to lb.</t>
  </si>
  <si>
    <t xml:space="preserve">The heating value of processed coal was also used along with dividing the emissions factor by 10^6 to get the </t>
  </si>
  <si>
    <t>emissions factor in lb/btu rather than the given lb/10^6 btu.</t>
  </si>
  <si>
    <t xml:space="preserve">For DAQ ID 11097, the conversion was used of dividing the thruput by 1000 to get the thruput value in </t>
  </si>
  <si>
    <t>1000 gal instead of the given gal unit.</t>
  </si>
  <si>
    <t xml:space="preserve">For DAQ ID 11098, the a conversion of 7.05 lb/gal was used to convert from gal used to lb used.  The heating </t>
  </si>
  <si>
    <t>value was also used as a conversion in order to obtain the correct units to multiply by the emissions factor.  The</t>
  </si>
  <si>
    <t>emissions factor also had to be changed to give the correct units by dividing it by 10^6 to convert the units lb/10^6 btu to lb/btu</t>
  </si>
  <si>
    <t xml:space="preserve">For DAQ ID 168829, 171135, 171136, 171137, and 168826, the design rate was used as a conversion factor. </t>
  </si>
  <si>
    <t>The thruput in gal/yr was divided by the design rate in gal/hr in order to get hr/yr.  The units are then correct to obtain SOx emissions.</t>
  </si>
  <si>
    <t>168829, 171135, 171136, 171137, and 168826 are new components in 2000.</t>
  </si>
  <si>
    <t xml:space="preserve">11096 heating value changed from 6458 in 1998 to 5497 in 2000. </t>
  </si>
  <si>
    <t>11096 % sulfur changed from 1.23 in 1998 to 1 in 2000.</t>
  </si>
  <si>
    <t>11097 and 11098 % sulfur changed from .85 in 1998 to 0.3 in 2000.</t>
  </si>
  <si>
    <t>11096 % ash changed from 46.01 in 1998 to 50.61 in 2000</t>
  </si>
  <si>
    <t>11096 CEM factor changed from .41 in 1998 to .4 in 2000.</t>
  </si>
  <si>
    <t>Tom Brown Incorporated</t>
  </si>
  <si>
    <t>Lisbon Plant- Hook and Ladder</t>
  </si>
  <si>
    <t>P O Box 760</t>
  </si>
  <si>
    <t>Moab, UT 84532</t>
  </si>
  <si>
    <t>Flares</t>
  </si>
  <si>
    <t>Material Balance</t>
  </si>
  <si>
    <t>Incinerator</t>
  </si>
  <si>
    <t>Average of monthly stack tests</t>
  </si>
  <si>
    <t>For Incinerator</t>
  </si>
  <si>
    <t>Emissions = Hours operated x Source test(lbs/hr)* / 2000</t>
  </si>
  <si>
    <t>* Source test data is as follows</t>
  </si>
  <si>
    <t>Date</t>
  </si>
  <si>
    <t>Actual lbs/hr SO2</t>
  </si>
  <si>
    <t>Average Rate</t>
  </si>
  <si>
    <t>Hours of operation</t>
  </si>
  <si>
    <t>Total Emissions</t>
  </si>
  <si>
    <t>External Combustion-Separator not reported in 2000.</t>
  </si>
  <si>
    <t>University of Utah</t>
  </si>
  <si>
    <t>University of Utah Facilities</t>
  </si>
  <si>
    <t>200 South University</t>
  </si>
  <si>
    <t>Salt Lake City, UT 84112</t>
  </si>
  <si>
    <t>Boiler 1</t>
  </si>
  <si>
    <t>Low NOx Burners</t>
  </si>
  <si>
    <t>Boiler 2</t>
  </si>
  <si>
    <t>Boiler 3</t>
  </si>
  <si>
    <t>Boiler 4</t>
  </si>
  <si>
    <t>Boiler 5</t>
  </si>
  <si>
    <t>lb/ton</t>
  </si>
  <si>
    <t>misc.sm. Boilers</t>
  </si>
  <si>
    <t>Misc. Small Boilers</t>
  </si>
  <si>
    <t>varies</t>
  </si>
  <si>
    <t>161a</t>
  </si>
  <si>
    <t>Kiln Natural Gas</t>
  </si>
  <si>
    <t>161b</t>
  </si>
  <si>
    <t>Kiln Coal</t>
  </si>
  <si>
    <t>162a</t>
  </si>
  <si>
    <t>U-Furnace Natural Gas</t>
  </si>
  <si>
    <t>162b</t>
  </si>
  <si>
    <t>U-Furnace Coal</t>
  </si>
  <si>
    <t>Pathological Incinerator</t>
  </si>
  <si>
    <t>Medical Waste</t>
  </si>
  <si>
    <t>167a</t>
  </si>
  <si>
    <t>Misc. Diesel</t>
  </si>
  <si>
    <t>hr</t>
  </si>
  <si>
    <t>167b</t>
  </si>
  <si>
    <t>Wheeled Loader (Diesel)</t>
  </si>
  <si>
    <t>167c</t>
  </si>
  <si>
    <t>Wheeled Tractor (Diesel)</t>
  </si>
  <si>
    <t>167e</t>
  </si>
  <si>
    <t>Wheeled Tractor (Gasoline)</t>
  </si>
  <si>
    <t>120-147</t>
  </si>
  <si>
    <t>Diesel Emergency Generators</t>
  </si>
  <si>
    <t>kw-hrs</t>
  </si>
  <si>
    <t>lb/kw-hr</t>
  </si>
  <si>
    <t>148-160</t>
  </si>
  <si>
    <t>Natural Gas Emergency Generators</t>
  </si>
  <si>
    <t>DAQ ID #: 22500 and 171094.</t>
  </si>
  <si>
    <t xml:space="preserve">For DAQ ID 22500, the thruput was reported in tons, but the emissions factor was in lb/lb.  </t>
  </si>
  <si>
    <t>The thruput then needed to be converted to lb by multiplying by 2000 to complete calculations.</t>
  </si>
  <si>
    <t>For DAQ ID 171094, the heating value of natural gas was used as a conversion to obtain the correct units.</t>
  </si>
  <si>
    <t>Satellite Boiler</t>
  </si>
  <si>
    <t>NG</t>
  </si>
  <si>
    <t>AP-42 1.4</t>
  </si>
  <si>
    <t>Jet Engine Tests</t>
  </si>
  <si>
    <t>Jet Fuel</t>
  </si>
  <si>
    <t>HAFB</t>
  </si>
  <si>
    <t>Used Oil Space Heater</t>
  </si>
  <si>
    <t>Used Oil</t>
  </si>
  <si>
    <t>Steam Production</t>
  </si>
  <si>
    <t>Steam Production(Heating)</t>
  </si>
  <si>
    <t>1000cu ft/yr</t>
  </si>
  <si>
    <t>Animal Crematory</t>
  </si>
  <si>
    <t>Secondary Combustion</t>
  </si>
  <si>
    <t>Animals</t>
  </si>
  <si>
    <t>Changed from 1998 to 2000</t>
  </si>
  <si>
    <t>168917, 168918, and 168920 were not included in 2000.</t>
  </si>
  <si>
    <t>13907 was in the 1998 inventory, but is not in the 2000 inventory.</t>
  </si>
  <si>
    <t>17231 and 17235 EF changed from .2626 lbs/mmscf to .005 lbs/1000 gal</t>
  </si>
  <si>
    <t>13898, 13908, and 36908 fuel was changed to Natural Gas in 2000. They were coal in 1998.</t>
  </si>
  <si>
    <t>13908 also burned oil in 1998.</t>
  </si>
  <si>
    <r>
      <t>Company Name:</t>
    </r>
    <r>
      <rPr>
        <b/>
        <sz val="10"/>
        <rFont val="Arial"/>
        <family val="2"/>
      </rPr>
      <t xml:space="preserve"> Utah State University</t>
    </r>
  </si>
  <si>
    <r>
      <t xml:space="preserve">Site Name: </t>
    </r>
    <r>
      <rPr>
        <b/>
        <sz val="10"/>
        <rFont val="Arial"/>
        <family val="2"/>
      </rPr>
      <t>Utah State University-Heating Plant</t>
    </r>
  </si>
  <si>
    <r>
      <t>Site Address:</t>
    </r>
    <r>
      <rPr>
        <b/>
        <sz val="10"/>
        <rFont val="Arial"/>
        <family val="2"/>
      </rPr>
      <t>8315 Old Main Hill</t>
    </r>
  </si>
  <si>
    <r>
      <t>10^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>btu</t>
    </r>
  </si>
  <si>
    <r>
      <t>10^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>btu/yr</t>
    </r>
  </si>
  <si>
    <r>
      <t>lbs/10^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cu ft</t>
    </r>
  </si>
  <si>
    <r>
      <t>Satellite Boiler SOx (Tons/yr) = (Thru-put x Emissions Factor x ft</t>
    </r>
    <r>
      <rPr>
        <sz val="10"/>
        <rFont val="Arial"/>
        <family val="2"/>
      </rPr>
      <t>^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/1050 btu)/2000</t>
    </r>
  </si>
  <si>
    <t>Wasatch Constructors</t>
  </si>
  <si>
    <t>I-15 Corridor Reconstruction</t>
  </si>
  <si>
    <t>Track Tractors</t>
  </si>
  <si>
    <t>Sox</t>
  </si>
  <si>
    <t>25 KW Generators</t>
  </si>
  <si>
    <t>lbs/hp-hr</t>
  </si>
  <si>
    <t>Amida LP</t>
  </si>
  <si>
    <t>Compressors</t>
  </si>
  <si>
    <t>Mobi-light</t>
  </si>
  <si>
    <t>Wheeled tractor</t>
  </si>
  <si>
    <t>Wheeled Dozer</t>
  </si>
  <si>
    <t>Wheeled loader</t>
  </si>
  <si>
    <t>Roller gasoline</t>
  </si>
  <si>
    <t>Off-highway Truck</t>
  </si>
  <si>
    <t>Roller</t>
  </si>
  <si>
    <t>Miscellaneous</t>
  </si>
  <si>
    <t>Off-highway truck</t>
  </si>
  <si>
    <t>Diesel engines</t>
  </si>
  <si>
    <t>hp-hr/yr</t>
  </si>
  <si>
    <t>Gasoline Engines</t>
  </si>
  <si>
    <t>Track Loader</t>
  </si>
  <si>
    <t>Miscellaneous-Gas</t>
  </si>
  <si>
    <t>Wheeled Tractor</t>
  </si>
  <si>
    <t>Portable gasoline equip.</t>
  </si>
  <si>
    <t>Portable diesel equip.</t>
  </si>
  <si>
    <t>Crusher gen. Diesel</t>
  </si>
  <si>
    <t>Concrete Batch Plant gen.</t>
  </si>
  <si>
    <t>Source did not operate in 1996.</t>
  </si>
  <si>
    <t>18811, 129277, 19278, 19279, 19280, 19281, 19282, 19283, 19284, 19285, 19286, 19287, 19289, 19290, and 19921</t>
  </si>
  <si>
    <t>Emissions =EF lbs/hr x hrs/yr / 2000</t>
  </si>
  <si>
    <t>19164, 19165, 19166, and 19167</t>
  </si>
  <si>
    <t>Emissions = EF lbs/hp-hr X hrs/yr x hp-hr / 2000</t>
  </si>
  <si>
    <t>19922 and 19923</t>
  </si>
  <si>
    <t>Emissions = EF lbs/hp-hr x hp-hr/year /2000</t>
  </si>
  <si>
    <t xml:space="preserve">19279 changed from a grader in 1998 to a wheeled dozer in 2000 </t>
  </si>
  <si>
    <t>EF changed from .086 in 1998 to .348 in 2000</t>
  </si>
  <si>
    <t>19281 changed from a track loader in 1998 to a Gasoline roller in 2000</t>
  </si>
  <si>
    <t>EF changed from .076 in 1998 to \.0185 in 2000</t>
  </si>
  <si>
    <t>New equipment in 2000 inventory includes 170983, 170984, 170923, 170298, 170299, 170300, and 170301</t>
  </si>
  <si>
    <t>Components 19164, 19165, 19166, and 19167 are included in the new components</t>
  </si>
  <si>
    <t>Components 19121 and 19283 are the same component.</t>
  </si>
  <si>
    <t>Utelite Corporation</t>
  </si>
  <si>
    <t>Shale Processing</t>
  </si>
  <si>
    <t>Loader</t>
  </si>
  <si>
    <t>Lbs/hr</t>
  </si>
  <si>
    <t>Haul Trucks</t>
  </si>
  <si>
    <t>18</t>
  </si>
  <si>
    <t>Track Hoe</t>
  </si>
  <si>
    <t>Highway Truck</t>
  </si>
  <si>
    <t>Gal/yr</t>
  </si>
  <si>
    <t>See Calculations</t>
  </si>
  <si>
    <t>D-1 kiln #1, 1b</t>
  </si>
  <si>
    <t>Lightweight Aggregate Kiln</t>
  </si>
  <si>
    <t>Tons/yr</t>
  </si>
  <si>
    <t>Lbs/ton</t>
  </si>
  <si>
    <t>D-1 kiln #1, 1a</t>
  </si>
  <si>
    <t>Lightweight Aggregate Kiln #1</t>
  </si>
  <si>
    <t>Btu/cf</t>
  </si>
  <si>
    <t>Lbs/mmscf</t>
  </si>
  <si>
    <t>D-3, 3b</t>
  </si>
  <si>
    <t>D-3, 3a</t>
  </si>
  <si>
    <t>mmcf/yr</t>
  </si>
  <si>
    <t>D-4, 4b</t>
  </si>
  <si>
    <t>Btu/hr</t>
  </si>
  <si>
    <t>D-4, 4a</t>
  </si>
  <si>
    <t>Btu/scf</t>
  </si>
  <si>
    <t>Company not over 100 tons/year of SOx until 2000.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</si>
</sst>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00"/>
    <numFmt numFmtId="167" formatCode="0.0000"/>
    <numFmt numFmtId="168" formatCode="0.000"/>
    <numFmt numFmtId="169" formatCode="0.0000000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0.00000000"/>
    <numFmt numFmtId="174" formatCode="00000"/>
  </numFmts>
  <fonts count="14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sz val="7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36">
    <xf numFmtId="0" fontId="0" fillId="0" borderId="0" xfId="0" applyAlignment="1">
      <alignment/>
    </xf>
    <xf numFmtId="0" fontId="1" fillId="0" borderId="1" xfId="24" applyFont="1" applyFill="1" applyBorder="1" applyAlignment="1">
      <alignment horizontal="left"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24" applyFont="1" applyFill="1" applyBorder="1" applyAlignment="1">
      <alignment horizontal="right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" fillId="0" borderId="5" xfId="24" applyFont="1" applyFill="1" applyBorder="1" applyAlignment="1">
      <alignment horizontal="left"/>
      <protection/>
    </xf>
    <xf numFmtId="0" fontId="1" fillId="0" borderId="6" xfId="24" applyFont="1" applyFill="1" applyBorder="1" applyAlignment="1">
      <alignment horizontal="right"/>
      <protection/>
    </xf>
    <xf numFmtId="0" fontId="1" fillId="0" borderId="7" xfId="24" applyFont="1" applyFill="1" applyBorder="1" applyAlignment="1">
      <alignment horizontal="left"/>
      <protection/>
    </xf>
    <xf numFmtId="0" fontId="1" fillId="0" borderId="7" xfId="24" applyFont="1" applyFill="1" applyBorder="1" applyAlignment="1">
      <alignment horizontal="right"/>
      <protection/>
    </xf>
    <xf numFmtId="0" fontId="0" fillId="0" borderId="7" xfId="0" applyBorder="1" applyAlignment="1">
      <alignment/>
    </xf>
    <xf numFmtId="4" fontId="1" fillId="0" borderId="7" xfId="24" applyNumberFormat="1" applyFont="1" applyFill="1" applyBorder="1" applyAlignment="1">
      <alignment horizontal="right"/>
      <protection/>
    </xf>
    <xf numFmtId="2" fontId="1" fillId="0" borderId="7" xfId="24" applyNumberFormat="1" applyFont="1" applyFill="1" applyBorder="1" applyAlignment="1">
      <alignment horizontal="right"/>
      <protection/>
    </xf>
    <xf numFmtId="164" fontId="1" fillId="0" borderId="7" xfId="24" applyNumberFormat="1" applyFont="1" applyFill="1" applyBorder="1" applyAlignment="1">
      <alignment horizontal="right"/>
      <protection/>
    </xf>
    <xf numFmtId="0" fontId="1" fillId="0" borderId="8" xfId="24" applyFont="1" applyFill="1" applyBorder="1" applyAlignment="1">
      <alignment horizontal="left"/>
      <protection/>
    </xf>
    <xf numFmtId="0" fontId="1" fillId="0" borderId="9" xfId="24" applyFont="1" applyFill="1" applyBorder="1" applyAlignment="1">
      <alignment horizontal="left"/>
      <protection/>
    </xf>
    <xf numFmtId="0" fontId="1" fillId="0" borderId="10" xfId="24" applyFont="1" applyFill="1" applyBorder="1" applyAlignment="1">
      <alignment horizontal="right"/>
      <protection/>
    </xf>
    <xf numFmtId="0" fontId="1" fillId="0" borderId="11" xfId="24" applyFont="1" applyFill="1" applyBorder="1" applyAlignment="1">
      <alignment horizontal="left"/>
      <protection/>
    </xf>
    <xf numFmtId="0" fontId="1" fillId="0" borderId="11" xfId="24" applyFont="1" applyFill="1" applyBorder="1" applyAlignment="1">
      <alignment horizontal="right"/>
      <protection/>
    </xf>
    <xf numFmtId="0" fontId="0" fillId="0" borderId="11" xfId="0" applyBorder="1" applyAlignment="1">
      <alignment/>
    </xf>
    <xf numFmtId="2" fontId="1" fillId="0" borderId="11" xfId="24" applyNumberFormat="1" applyFont="1" applyFill="1" applyBorder="1" applyAlignment="1">
      <alignment horizontal="right"/>
      <protection/>
    </xf>
    <xf numFmtId="164" fontId="1" fillId="0" borderId="11" xfId="24" applyNumberFormat="1" applyFont="1" applyFill="1" applyBorder="1" applyAlignment="1">
      <alignment horizontal="right"/>
      <protection/>
    </xf>
    <xf numFmtId="0" fontId="1" fillId="0" borderId="12" xfId="24" applyFont="1" applyFill="1" applyBorder="1" applyAlignment="1">
      <alignment horizontal="left"/>
      <protection/>
    </xf>
    <xf numFmtId="0" fontId="1" fillId="0" borderId="0" xfId="24" applyFont="1" applyFill="1" applyBorder="1" applyAlignment="1">
      <alignment horizontal="right"/>
      <protection/>
    </xf>
    <xf numFmtId="4" fontId="1" fillId="0" borderId="11" xfId="24" applyNumberFormat="1" applyFont="1" applyFill="1" applyBorder="1" applyAlignment="1">
      <alignment horizontal="right"/>
      <protection/>
    </xf>
    <xf numFmtId="0" fontId="1" fillId="0" borderId="13" xfId="24" applyFont="1" applyFill="1" applyBorder="1" applyAlignment="1">
      <alignment horizontal="left"/>
      <protection/>
    </xf>
    <xf numFmtId="0" fontId="1" fillId="0" borderId="14" xfId="24" applyFont="1" applyFill="1" applyBorder="1" applyAlignment="1">
      <alignment horizontal="right"/>
      <protection/>
    </xf>
    <xf numFmtId="0" fontId="1" fillId="0" borderId="15" xfId="24" applyFont="1" applyFill="1" applyBorder="1" applyAlignment="1">
      <alignment horizontal="left"/>
      <protection/>
    </xf>
    <xf numFmtId="0" fontId="1" fillId="0" borderId="15" xfId="24" applyFont="1" applyFill="1" applyBorder="1" applyAlignment="1">
      <alignment horizontal="right"/>
      <protection/>
    </xf>
    <xf numFmtId="4" fontId="1" fillId="0" borderId="15" xfId="24" applyNumberFormat="1" applyFont="1" applyFill="1" applyBorder="1" applyAlignment="1">
      <alignment horizontal="right"/>
      <protection/>
    </xf>
    <xf numFmtId="2" fontId="1" fillId="0" borderId="15" xfId="24" applyNumberFormat="1" applyFont="1" applyFill="1" applyBorder="1" applyAlignment="1">
      <alignment horizontal="right"/>
      <protection/>
    </xf>
    <xf numFmtId="0" fontId="1" fillId="0" borderId="16" xfId="24" applyFont="1" applyFill="1" applyBorder="1" applyAlignment="1">
      <alignment horizontal="right"/>
      <protection/>
    </xf>
    <xf numFmtId="164" fontId="1" fillId="0" borderId="16" xfId="24" applyNumberFormat="1" applyFont="1" applyFill="1" applyBorder="1" applyAlignment="1">
      <alignment horizontal="right"/>
      <protection/>
    </xf>
    <xf numFmtId="0" fontId="1" fillId="0" borderId="16" xfId="24" applyFont="1" applyFill="1" applyBorder="1" applyAlignment="1">
      <alignment horizontal="left"/>
      <protection/>
    </xf>
    <xf numFmtId="0" fontId="1" fillId="0" borderId="17" xfId="24" applyFont="1" applyFill="1" applyBorder="1" applyAlignment="1">
      <alignment horizontal="left"/>
      <protection/>
    </xf>
    <xf numFmtId="0" fontId="6" fillId="0" borderId="18" xfId="0" applyFont="1" applyBorder="1" applyAlignment="1">
      <alignment/>
    </xf>
    <xf numFmtId="2" fontId="6" fillId="0" borderId="18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8" xfId="0" applyBorder="1" applyAlignment="1">
      <alignment/>
    </xf>
    <xf numFmtId="0" fontId="1" fillId="0" borderId="12" xfId="24" applyFont="1" applyFill="1" applyBorder="1" applyAlignment="1">
      <alignment horizontal="right"/>
      <protection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 wrapText="1"/>
    </xf>
    <xf numFmtId="0" fontId="0" fillId="0" borderId="3" xfId="0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1" xfId="0" applyBorder="1" applyAlignment="1">
      <alignment/>
    </xf>
    <xf numFmtId="0" fontId="6" fillId="0" borderId="19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right" vertical="top"/>
    </xf>
    <xf numFmtId="0" fontId="0" fillId="0" borderId="21" xfId="0" applyFont="1" applyBorder="1" applyAlignment="1">
      <alignment horizontal="left" vertical="top"/>
    </xf>
    <xf numFmtId="0" fontId="0" fillId="0" borderId="21" xfId="0" applyFont="1" applyBorder="1" applyAlignment="1">
      <alignment horizontal="center" vertical="top"/>
    </xf>
    <xf numFmtId="0" fontId="0" fillId="0" borderId="21" xfId="0" applyFont="1" applyBorder="1" applyAlignment="1">
      <alignment horizontal="center"/>
    </xf>
    <xf numFmtId="168" fontId="0" fillId="0" borderId="21" xfId="0" applyNumberFormat="1" applyFont="1" applyBorder="1" applyAlignment="1">
      <alignment horizontal="right" vertical="top"/>
    </xf>
    <xf numFmtId="0" fontId="0" fillId="0" borderId="23" xfId="0" applyFont="1" applyBorder="1" applyAlignment="1">
      <alignment horizontal="left" vertical="top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right" vertical="top"/>
    </xf>
    <xf numFmtId="0" fontId="0" fillId="0" borderId="19" xfId="0" applyFont="1" applyBorder="1" applyAlignment="1">
      <alignment horizontal="left" vertical="top"/>
    </xf>
    <xf numFmtId="0" fontId="0" fillId="0" borderId="19" xfId="0" applyFont="1" applyBorder="1" applyAlignment="1">
      <alignment horizontal="center" vertical="top"/>
    </xf>
    <xf numFmtId="168" fontId="0" fillId="0" borderId="19" xfId="0" applyNumberFormat="1" applyFont="1" applyBorder="1" applyAlignment="1">
      <alignment horizontal="right" vertical="top"/>
    </xf>
    <xf numFmtId="0" fontId="0" fillId="0" borderId="25" xfId="0" applyFont="1" applyBorder="1" applyAlignment="1">
      <alignment horizontal="left" vertical="top"/>
    </xf>
    <xf numFmtId="0" fontId="0" fillId="0" borderId="19" xfId="0" applyFon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168" fontId="0" fillId="0" borderId="3" xfId="0" applyNumberFormat="1" applyFont="1" applyBorder="1" applyAlignment="1">
      <alignment horizontal="right" vertical="top"/>
    </xf>
    <xf numFmtId="0" fontId="0" fillId="0" borderId="4" xfId="0" applyBorder="1" applyAlignment="1">
      <alignment horizontal="left"/>
    </xf>
    <xf numFmtId="0" fontId="6" fillId="0" borderId="18" xfId="0" applyFont="1" applyBorder="1" applyAlignment="1">
      <alignment/>
    </xf>
    <xf numFmtId="168" fontId="6" fillId="0" borderId="18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 horizontal="center"/>
    </xf>
    <xf numFmtId="168" fontId="0" fillId="0" borderId="21" xfId="0" applyNumberFormat="1" applyBorder="1" applyAlignment="1">
      <alignment horizontal="right"/>
    </xf>
    <xf numFmtId="0" fontId="0" fillId="0" borderId="23" xfId="0" applyBorder="1" applyAlignment="1">
      <alignment horizontal="left"/>
    </xf>
    <xf numFmtId="168" fontId="0" fillId="0" borderId="19" xfId="0" applyNumberFormat="1" applyBorder="1" applyAlignment="1">
      <alignment horizontal="right"/>
    </xf>
    <xf numFmtId="168" fontId="0" fillId="0" borderId="3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0" fillId="0" borderId="21" xfId="0" applyBorder="1" applyAlignment="1">
      <alignment/>
    </xf>
    <xf numFmtId="2" fontId="0" fillId="0" borderId="21" xfId="0" applyNumberFormat="1" applyBorder="1" applyAlignment="1">
      <alignment horizontal="right"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3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 horizontal="right"/>
    </xf>
    <xf numFmtId="0" fontId="0" fillId="0" borderId="4" xfId="0" applyBorder="1" applyAlignment="1">
      <alignment/>
    </xf>
    <xf numFmtId="0" fontId="6" fillId="0" borderId="29" xfId="0" applyFont="1" applyBorder="1" applyAlignment="1">
      <alignment/>
    </xf>
    <xf numFmtId="2" fontId="6" fillId="0" borderId="29" xfId="0" applyNumberFormat="1" applyFont="1" applyBorder="1" applyAlignment="1">
      <alignment/>
    </xf>
    <xf numFmtId="0" fontId="1" fillId="0" borderId="1" xfId="28" applyFont="1" applyFill="1" applyBorder="1" applyAlignment="1">
      <alignment horizontal="left"/>
      <protection/>
    </xf>
    <xf numFmtId="168" fontId="0" fillId="0" borderId="0" xfId="0" applyNumberFormat="1" applyAlignment="1">
      <alignment/>
    </xf>
    <xf numFmtId="0" fontId="1" fillId="0" borderId="1" xfId="28" applyFont="1" applyFill="1" applyBorder="1" applyAlignment="1">
      <alignment horizontal="right"/>
      <protection/>
    </xf>
    <xf numFmtId="0" fontId="1" fillId="0" borderId="22" xfId="28" applyFont="1" applyFill="1" applyBorder="1" applyAlignment="1">
      <alignment horizontal="left"/>
      <protection/>
    </xf>
    <xf numFmtId="0" fontId="1" fillId="0" borderId="21" xfId="28" applyFont="1" applyFill="1" applyBorder="1" applyAlignment="1">
      <alignment horizontal="right"/>
      <protection/>
    </xf>
    <xf numFmtId="0" fontId="1" fillId="0" borderId="21" xfId="28" applyFont="1" applyFill="1" applyBorder="1" applyAlignment="1">
      <alignment horizontal="left"/>
      <protection/>
    </xf>
    <xf numFmtId="168" fontId="0" fillId="0" borderId="21" xfId="0" applyNumberFormat="1" applyBorder="1" applyAlignment="1">
      <alignment/>
    </xf>
    <xf numFmtId="0" fontId="1" fillId="0" borderId="24" xfId="28" applyFont="1" applyFill="1" applyBorder="1" applyAlignment="1">
      <alignment horizontal="left"/>
      <protection/>
    </xf>
    <xf numFmtId="0" fontId="1" fillId="0" borderId="19" xfId="28" applyFont="1" applyFill="1" applyBorder="1" applyAlignment="1">
      <alignment horizontal="right"/>
      <protection/>
    </xf>
    <xf numFmtId="0" fontId="1" fillId="0" borderId="19" xfId="28" applyFont="1" applyFill="1" applyBorder="1" applyAlignment="1">
      <alignment horizontal="left"/>
      <protection/>
    </xf>
    <xf numFmtId="168" fontId="0" fillId="0" borderId="19" xfId="0" applyNumberFormat="1" applyBorder="1" applyAlignment="1">
      <alignment/>
    </xf>
    <xf numFmtId="9" fontId="0" fillId="0" borderId="19" xfId="0" applyNumberFormat="1" applyBorder="1" applyAlignment="1">
      <alignment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168" fontId="0" fillId="0" borderId="3" xfId="0" applyNumberFormat="1" applyBorder="1" applyAlignment="1">
      <alignment/>
    </xf>
    <xf numFmtId="0" fontId="6" fillId="0" borderId="30" xfId="0" applyFont="1" applyBorder="1" applyAlignment="1">
      <alignment/>
    </xf>
    <xf numFmtId="168" fontId="6" fillId="0" borderId="3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31" xfId="0" applyFont="1" applyBorder="1" applyAlignment="1">
      <alignment horizontal="center" wrapText="1"/>
    </xf>
    <xf numFmtId="2" fontId="0" fillId="0" borderId="21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30" xfId="0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4" fontId="0" fillId="0" borderId="0" xfId="0" applyNumberFormat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20" xfId="0" applyFont="1" applyBorder="1" applyAlignment="1">
      <alignment horizontal="left" wrapText="1"/>
    </xf>
    <xf numFmtId="0" fontId="0" fillId="0" borderId="30" xfId="0" applyBorder="1" applyAlignment="1">
      <alignment/>
    </xf>
    <xf numFmtId="168" fontId="0" fillId="0" borderId="30" xfId="0" applyNumberFormat="1" applyBorder="1" applyAlignment="1">
      <alignment/>
    </xf>
    <xf numFmtId="0" fontId="1" fillId="0" borderId="1" xfId="27" applyFont="1" applyFill="1" applyBorder="1" applyAlignment="1">
      <alignment horizontal="left"/>
      <protection/>
    </xf>
    <xf numFmtId="0" fontId="1" fillId="0" borderId="1" xfId="27" applyFont="1" applyFill="1" applyBorder="1" applyAlignment="1">
      <alignment horizontal="right"/>
      <protection/>
    </xf>
    <xf numFmtId="0" fontId="1" fillId="0" borderId="24" xfId="27" applyFont="1" applyFill="1" applyBorder="1" applyAlignment="1">
      <alignment horizontal="left"/>
      <protection/>
    </xf>
    <xf numFmtId="0" fontId="1" fillId="0" borderId="19" xfId="27" applyFont="1" applyFill="1" applyBorder="1" applyAlignment="1">
      <alignment horizontal="right"/>
      <protection/>
    </xf>
    <xf numFmtId="0" fontId="1" fillId="0" borderId="19" xfId="27" applyFont="1" applyFill="1" applyBorder="1" applyAlignment="1">
      <alignment horizontal="left"/>
      <protection/>
    </xf>
    <xf numFmtId="168" fontId="1" fillId="0" borderId="19" xfId="27" applyNumberFormat="1" applyFont="1" applyFill="1" applyBorder="1" applyAlignment="1">
      <alignment horizontal="right"/>
      <protection/>
    </xf>
    <xf numFmtId="0" fontId="1" fillId="0" borderId="25" xfId="27" applyFont="1" applyFill="1" applyBorder="1" applyAlignment="1">
      <alignment horizontal="left"/>
      <protection/>
    </xf>
    <xf numFmtId="0" fontId="1" fillId="0" borderId="26" xfId="27" applyFont="1" applyFill="1" applyBorder="1" applyAlignment="1">
      <alignment horizontal="left"/>
      <protection/>
    </xf>
    <xf numFmtId="0" fontId="1" fillId="0" borderId="3" xfId="27" applyFont="1" applyFill="1" applyBorder="1" applyAlignment="1">
      <alignment horizontal="right"/>
      <protection/>
    </xf>
    <xf numFmtId="0" fontId="1" fillId="0" borderId="3" xfId="27" applyFont="1" applyFill="1" applyBorder="1" applyAlignment="1">
      <alignment horizontal="left"/>
      <protection/>
    </xf>
    <xf numFmtId="168" fontId="1" fillId="0" borderId="3" xfId="27" applyNumberFormat="1" applyFont="1" applyFill="1" applyBorder="1" applyAlignment="1">
      <alignment horizontal="right"/>
      <protection/>
    </xf>
    <xf numFmtId="0" fontId="1" fillId="0" borderId="4" xfId="27" applyFont="1" applyFill="1" applyBorder="1" applyAlignment="1">
      <alignment horizontal="left"/>
      <protection/>
    </xf>
    <xf numFmtId="0" fontId="1" fillId="0" borderId="0" xfId="27" applyFont="1" applyFill="1" applyBorder="1" applyAlignment="1">
      <alignment horizontal="left"/>
      <protection/>
    </xf>
    <xf numFmtId="0" fontId="1" fillId="0" borderId="0" xfId="27" applyFont="1" applyFill="1" applyBorder="1" applyAlignment="1">
      <alignment horizontal="right"/>
      <protection/>
    </xf>
    <xf numFmtId="0" fontId="6" fillId="0" borderId="0" xfId="0" applyFont="1" applyAlignment="1">
      <alignment horizontal="center"/>
    </xf>
    <xf numFmtId="0" fontId="6" fillId="0" borderId="32" xfId="0" applyFont="1" applyBorder="1" applyAlignment="1">
      <alignment horizontal="center" wrapText="1"/>
    </xf>
    <xf numFmtId="16" fontId="0" fillId="0" borderId="21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16" fontId="0" fillId="0" borderId="19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1" fontId="0" fillId="0" borderId="21" xfId="0" applyNumberFormat="1" applyBorder="1" applyAlignment="1">
      <alignment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/>
    </xf>
    <xf numFmtId="0" fontId="0" fillId="0" borderId="26" xfId="0" applyBorder="1" applyAlignment="1">
      <alignment/>
    </xf>
    <xf numFmtId="1" fontId="0" fillId="0" borderId="3" xfId="0" applyNumberFormat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1" xfId="23" applyFont="1" applyFill="1" applyBorder="1" applyAlignment="1">
      <alignment horizontal="left"/>
      <protection/>
    </xf>
    <xf numFmtId="0" fontId="1" fillId="0" borderId="36" xfId="23" applyFont="1" applyFill="1" applyBorder="1" applyAlignment="1">
      <alignment horizontal="right"/>
      <protection/>
    </xf>
    <xf numFmtId="0" fontId="1" fillId="0" borderId="22" xfId="23" applyFont="1" applyFill="1" applyBorder="1" applyAlignment="1">
      <alignment horizontal="right"/>
      <protection/>
    </xf>
    <xf numFmtId="0" fontId="1" fillId="0" borderId="21" xfId="23" applyFont="1" applyFill="1" applyBorder="1" applyAlignment="1">
      <alignment horizontal="left"/>
      <protection/>
    </xf>
    <xf numFmtId="0" fontId="1" fillId="0" borderId="21" xfId="23" applyFont="1" applyFill="1" applyBorder="1" applyAlignment="1">
      <alignment horizontal="right"/>
      <protection/>
    </xf>
    <xf numFmtId="0" fontId="1" fillId="0" borderId="24" xfId="23" applyFont="1" applyFill="1" applyBorder="1" applyAlignment="1">
      <alignment horizontal="right"/>
      <protection/>
    </xf>
    <xf numFmtId="0" fontId="1" fillId="0" borderId="19" xfId="23" applyFont="1" applyFill="1" applyBorder="1" applyAlignment="1">
      <alignment horizontal="right"/>
      <protection/>
    </xf>
    <xf numFmtId="2" fontId="1" fillId="0" borderId="19" xfId="23" applyNumberFormat="1" applyFont="1" applyFill="1" applyBorder="1" applyAlignment="1">
      <alignment horizontal="right"/>
      <protection/>
    </xf>
    <xf numFmtId="0" fontId="1" fillId="0" borderId="25" xfId="23" applyFont="1" applyFill="1" applyBorder="1" applyAlignment="1">
      <alignment horizontal="right"/>
      <protection/>
    </xf>
    <xf numFmtId="0" fontId="1" fillId="0" borderId="37" xfId="23" applyFont="1" applyFill="1" applyBorder="1" applyAlignment="1">
      <alignment horizontal="right"/>
      <protection/>
    </xf>
    <xf numFmtId="0" fontId="1" fillId="0" borderId="19" xfId="23" applyFont="1" applyFill="1" applyBorder="1" applyAlignment="1">
      <alignment horizontal="left"/>
      <protection/>
    </xf>
    <xf numFmtId="0" fontId="1" fillId="0" borderId="38" xfId="23" applyFont="1" applyFill="1" applyBorder="1" applyAlignment="1">
      <alignment horizontal="right"/>
      <protection/>
    </xf>
    <xf numFmtId="0" fontId="1" fillId="0" borderId="26" xfId="23" applyFont="1" applyFill="1" applyBorder="1" applyAlignment="1">
      <alignment horizontal="right"/>
      <protection/>
    </xf>
    <xf numFmtId="0" fontId="1" fillId="0" borderId="3" xfId="23" applyFont="1" applyFill="1" applyBorder="1" applyAlignment="1">
      <alignment horizontal="left"/>
      <protection/>
    </xf>
    <xf numFmtId="0" fontId="1" fillId="0" borderId="3" xfId="23" applyFont="1" applyFill="1" applyBorder="1" applyAlignment="1">
      <alignment horizontal="right"/>
      <protection/>
    </xf>
    <xf numFmtId="2" fontId="1" fillId="0" borderId="3" xfId="23" applyNumberFormat="1" applyFont="1" applyFill="1" applyBorder="1" applyAlignment="1">
      <alignment horizontal="right"/>
      <protection/>
    </xf>
    <xf numFmtId="0" fontId="1" fillId="0" borderId="4" xfId="23" applyFont="1" applyFill="1" applyBorder="1" applyAlignment="1">
      <alignment horizontal="right"/>
      <protection/>
    </xf>
    <xf numFmtId="2" fontId="6" fillId="0" borderId="18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0" borderId="32" xfId="0" applyFont="1" applyBorder="1" applyAlignment="1">
      <alignment horizontal="center" vertical="top" wrapText="1"/>
    </xf>
    <xf numFmtId="0" fontId="0" fillId="0" borderId="22" xfId="0" applyBorder="1" applyAlignment="1">
      <alignment horizontal="right"/>
    </xf>
    <xf numFmtId="4" fontId="0" fillId="0" borderId="21" xfId="0" applyNumberFormat="1" applyBorder="1" applyAlignment="1">
      <alignment/>
    </xf>
    <xf numFmtId="0" fontId="0" fillId="0" borderId="24" xfId="0" applyBorder="1" applyAlignment="1">
      <alignment horizontal="right"/>
    </xf>
    <xf numFmtId="4" fontId="0" fillId="0" borderId="19" xfId="0" applyNumberFormat="1" applyBorder="1" applyAlignment="1">
      <alignment/>
    </xf>
    <xf numFmtId="11" fontId="0" fillId="0" borderId="19" xfId="0" applyNumberFormat="1" applyBorder="1" applyAlignment="1">
      <alignment/>
    </xf>
    <xf numFmtId="4" fontId="0" fillId="0" borderId="19" xfId="0" applyNumberFormat="1" applyFill="1" applyBorder="1" applyAlignment="1">
      <alignment/>
    </xf>
    <xf numFmtId="0" fontId="0" fillId="0" borderId="26" xfId="0" applyBorder="1" applyAlignment="1">
      <alignment horizontal="right"/>
    </xf>
    <xf numFmtId="4" fontId="0" fillId="0" borderId="3" xfId="0" applyNumberFormat="1" applyFill="1" applyBorder="1" applyAlignment="1">
      <alignment/>
    </xf>
    <xf numFmtId="4" fontId="0" fillId="0" borderId="39" xfId="0" applyNumberFormat="1" applyBorder="1" applyAlignment="1">
      <alignment/>
    </xf>
    <xf numFmtId="0" fontId="3" fillId="0" borderId="0" xfId="0" applyFont="1" applyAlignment="1">
      <alignment horizontal="justify"/>
    </xf>
    <xf numFmtId="0" fontId="6" fillId="0" borderId="40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 wrapText="1"/>
    </xf>
    <xf numFmtId="0" fontId="0" fillId="0" borderId="41" xfId="0" applyBorder="1" applyAlignment="1">
      <alignment/>
    </xf>
    <xf numFmtId="43" fontId="0" fillId="0" borderId="0" xfId="15" applyNumberFormat="1" applyAlignment="1">
      <alignment/>
    </xf>
    <xf numFmtId="43" fontId="0" fillId="0" borderId="0" xfId="0" applyNumberFormat="1" applyAlignment="1">
      <alignment/>
    </xf>
    <xf numFmtId="171" fontId="0" fillId="0" borderId="0" xfId="15" applyNumberFormat="1" applyAlignment="1">
      <alignment/>
    </xf>
    <xf numFmtId="2" fontId="0" fillId="0" borderId="19" xfId="0" applyNumberFormat="1" applyBorder="1" applyAlignment="1">
      <alignment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/>
    </xf>
    <xf numFmtId="0" fontId="6" fillId="0" borderId="42" xfId="0" applyFont="1" applyBorder="1" applyAlignment="1">
      <alignment horizontal="center" vertical="top" wrapText="1"/>
    </xf>
    <xf numFmtId="0" fontId="0" fillId="0" borderId="43" xfId="0" applyBorder="1" applyAlignment="1">
      <alignment horizontal="right"/>
    </xf>
    <xf numFmtId="43" fontId="0" fillId="0" borderId="41" xfId="15" applyBorder="1" applyAlignment="1">
      <alignment/>
    </xf>
    <xf numFmtId="4" fontId="0" fillId="0" borderId="41" xfId="15" applyNumberFormat="1" applyBorder="1" applyAlignment="1">
      <alignment/>
    </xf>
    <xf numFmtId="0" fontId="0" fillId="0" borderId="44" xfId="0" applyBorder="1" applyAlignment="1">
      <alignment/>
    </xf>
    <xf numFmtId="43" fontId="0" fillId="0" borderId="19" xfId="15" applyBorder="1" applyAlignment="1">
      <alignment/>
    </xf>
    <xf numFmtId="4" fontId="0" fillId="0" borderId="19" xfId="15" applyNumberFormat="1" applyBorder="1" applyAlignment="1">
      <alignment/>
    </xf>
    <xf numFmtId="43" fontId="0" fillId="0" borderId="3" xfId="15" applyBorder="1" applyAlignment="1">
      <alignment/>
    </xf>
    <xf numFmtId="4" fontId="0" fillId="0" borderId="3" xfId="15" applyNumberFormat="1" applyBorder="1" applyAlignment="1">
      <alignment/>
    </xf>
    <xf numFmtId="4" fontId="6" fillId="0" borderId="45" xfId="15" applyNumberFormat="1" applyFont="1" applyBorder="1" applyAlignment="1">
      <alignment/>
    </xf>
    <xf numFmtId="4" fontId="0" fillId="0" borderId="0" xfId="15" applyNumberFormat="1" applyAlignment="1">
      <alignment/>
    </xf>
    <xf numFmtId="0" fontId="0" fillId="0" borderId="0" xfId="0" applyAlignment="1">
      <alignment horizontal="left"/>
    </xf>
    <xf numFmtId="167" fontId="0" fillId="0" borderId="0" xfId="0" applyNumberFormat="1" applyAlignment="1">
      <alignment/>
    </xf>
    <xf numFmtId="0" fontId="1" fillId="0" borderId="46" xfId="24" applyFont="1" applyFill="1" applyBorder="1" applyAlignment="1">
      <alignment horizontal="left"/>
      <protection/>
    </xf>
    <xf numFmtId="0" fontId="1" fillId="0" borderId="47" xfId="24" applyFont="1" applyFill="1" applyBorder="1" applyAlignment="1">
      <alignment horizontal="right"/>
      <protection/>
    </xf>
    <xf numFmtId="0" fontId="1" fillId="0" borderId="48" xfId="24" applyFont="1" applyFill="1" applyBorder="1" applyAlignment="1">
      <alignment horizontal="right"/>
      <protection/>
    </xf>
    <xf numFmtId="2" fontId="1" fillId="0" borderId="1" xfId="24" applyNumberFormat="1" applyFont="1" applyFill="1" applyBorder="1" applyAlignment="1">
      <alignment horizontal="right"/>
      <protection/>
    </xf>
    <xf numFmtId="0" fontId="1" fillId="0" borderId="48" xfId="24" applyFont="1" applyFill="1" applyBorder="1" applyAlignment="1">
      <alignment horizontal="left"/>
      <protection/>
    </xf>
    <xf numFmtId="0" fontId="1" fillId="0" borderId="49" xfId="24" applyFont="1" applyFill="1" applyBorder="1" applyAlignment="1">
      <alignment horizontal="right"/>
      <protection/>
    </xf>
    <xf numFmtId="0" fontId="1" fillId="0" borderId="50" xfId="24" applyFont="1" applyFill="1" applyBorder="1" applyAlignment="1">
      <alignment horizontal="left"/>
      <protection/>
    </xf>
    <xf numFmtId="0" fontId="1" fillId="0" borderId="51" xfId="24" applyFont="1" applyFill="1" applyBorder="1" applyAlignment="1">
      <alignment horizontal="right"/>
      <protection/>
    </xf>
    <xf numFmtId="0" fontId="1" fillId="0" borderId="52" xfId="24" applyFont="1" applyFill="1" applyBorder="1" applyAlignment="1">
      <alignment horizontal="left"/>
      <protection/>
    </xf>
    <xf numFmtId="0" fontId="1" fillId="0" borderId="52" xfId="24" applyFont="1" applyFill="1" applyBorder="1" applyAlignment="1">
      <alignment horizontal="right"/>
      <protection/>
    </xf>
    <xf numFmtId="0" fontId="1" fillId="0" borderId="53" xfId="24" applyFont="1" applyFill="1" applyBorder="1" applyAlignment="1">
      <alignment horizontal="right"/>
      <protection/>
    </xf>
    <xf numFmtId="2" fontId="1" fillId="0" borderId="52" xfId="24" applyNumberFormat="1" applyFont="1" applyFill="1" applyBorder="1" applyAlignment="1">
      <alignment horizontal="right"/>
      <protection/>
    </xf>
    <xf numFmtId="0" fontId="1" fillId="0" borderId="53" xfId="24" applyFont="1" applyFill="1" applyBorder="1" applyAlignment="1">
      <alignment horizontal="left"/>
      <protection/>
    </xf>
    <xf numFmtId="0" fontId="1" fillId="0" borderId="1" xfId="22" applyFont="1" applyFill="1" applyBorder="1" applyAlignment="1">
      <alignment horizontal="left"/>
      <protection/>
    </xf>
    <xf numFmtId="0" fontId="1" fillId="0" borderId="1" xfId="22" applyFont="1" applyFill="1" applyBorder="1" applyAlignment="1">
      <alignment horizontal="right"/>
      <protection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1" fillId="0" borderId="43" xfId="22" applyFont="1" applyFill="1" applyBorder="1" applyAlignment="1">
      <alignment horizontal="left"/>
      <protection/>
    </xf>
    <xf numFmtId="0" fontId="1" fillId="0" borderId="41" xfId="22" applyFont="1" applyFill="1" applyBorder="1" applyAlignment="1">
      <alignment horizontal="right"/>
      <protection/>
    </xf>
    <xf numFmtId="0" fontId="1" fillId="0" borderId="41" xfId="22" applyFont="1" applyFill="1" applyBorder="1" applyAlignment="1">
      <alignment horizontal="left"/>
      <protection/>
    </xf>
    <xf numFmtId="0" fontId="1" fillId="0" borderId="44" xfId="22" applyFont="1" applyFill="1" applyBorder="1" applyAlignment="1">
      <alignment horizontal="right"/>
      <protection/>
    </xf>
    <xf numFmtId="0" fontId="1" fillId="0" borderId="43" xfId="22" applyFont="1" applyFill="1" applyBorder="1" applyAlignment="1">
      <alignment horizontal="right"/>
      <protection/>
    </xf>
    <xf numFmtId="2" fontId="1" fillId="0" borderId="41" xfId="22" applyNumberFormat="1" applyFont="1" applyFill="1" applyBorder="1" applyAlignment="1">
      <alignment horizontal="right"/>
      <protection/>
    </xf>
    <xf numFmtId="0" fontId="1" fillId="0" borderId="54" xfId="22" applyFont="1" applyFill="1" applyBorder="1" applyAlignment="1">
      <alignment horizontal="right"/>
      <protection/>
    </xf>
    <xf numFmtId="0" fontId="1" fillId="0" borderId="44" xfId="22" applyFont="1" applyFill="1" applyBorder="1" applyAlignment="1">
      <alignment horizontal="left"/>
      <protection/>
    </xf>
    <xf numFmtId="0" fontId="1" fillId="0" borderId="24" xfId="22" applyFont="1" applyFill="1" applyBorder="1" applyAlignment="1">
      <alignment horizontal="left"/>
      <protection/>
    </xf>
    <xf numFmtId="0" fontId="1" fillId="0" borderId="19" xfId="22" applyFont="1" applyFill="1" applyBorder="1" applyAlignment="1">
      <alignment horizontal="right"/>
      <protection/>
    </xf>
    <xf numFmtId="0" fontId="1" fillId="0" borderId="19" xfId="22" applyFont="1" applyFill="1" applyBorder="1" applyAlignment="1">
      <alignment horizontal="left"/>
      <protection/>
    </xf>
    <xf numFmtId="0" fontId="1" fillId="0" borderId="25" xfId="22" applyFont="1" applyFill="1" applyBorder="1" applyAlignment="1">
      <alignment horizontal="right"/>
      <protection/>
    </xf>
    <xf numFmtId="0" fontId="1" fillId="0" borderId="24" xfId="22" applyFont="1" applyFill="1" applyBorder="1" applyAlignment="1">
      <alignment horizontal="right"/>
      <protection/>
    </xf>
    <xf numFmtId="2" fontId="1" fillId="0" borderId="19" xfId="22" applyNumberFormat="1" applyFont="1" applyFill="1" applyBorder="1" applyAlignment="1">
      <alignment horizontal="right"/>
      <protection/>
    </xf>
    <xf numFmtId="0" fontId="1" fillId="0" borderId="55" xfId="22" applyFont="1" applyFill="1" applyBorder="1" applyAlignment="1">
      <alignment horizontal="right"/>
      <protection/>
    </xf>
    <xf numFmtId="0" fontId="1" fillId="0" borderId="25" xfId="22" applyFont="1" applyFill="1" applyBorder="1" applyAlignment="1">
      <alignment horizontal="left"/>
      <protection/>
    </xf>
    <xf numFmtId="0" fontId="1" fillId="0" borderId="26" xfId="22" applyFont="1" applyFill="1" applyBorder="1" applyAlignment="1">
      <alignment horizontal="left"/>
      <protection/>
    </xf>
    <xf numFmtId="0" fontId="1" fillId="0" borderId="3" xfId="22" applyFont="1" applyFill="1" applyBorder="1" applyAlignment="1">
      <alignment horizontal="right"/>
      <protection/>
    </xf>
    <xf numFmtId="0" fontId="1" fillId="0" borderId="3" xfId="22" applyFont="1" applyFill="1" applyBorder="1" applyAlignment="1">
      <alignment horizontal="left"/>
      <protection/>
    </xf>
    <xf numFmtId="0" fontId="1" fillId="0" borderId="4" xfId="22" applyFont="1" applyFill="1" applyBorder="1" applyAlignment="1">
      <alignment horizontal="right"/>
      <protection/>
    </xf>
    <xf numFmtId="0" fontId="1" fillId="0" borderId="26" xfId="22" applyFont="1" applyFill="1" applyBorder="1" applyAlignment="1">
      <alignment horizontal="right"/>
      <protection/>
    </xf>
    <xf numFmtId="2" fontId="1" fillId="0" borderId="3" xfId="22" applyNumberFormat="1" applyFont="1" applyFill="1" applyBorder="1" applyAlignment="1">
      <alignment horizontal="right"/>
      <protection/>
    </xf>
    <xf numFmtId="0" fontId="1" fillId="0" borderId="56" xfId="22" applyFont="1" applyFill="1" applyBorder="1" applyAlignment="1">
      <alignment horizontal="right"/>
      <protection/>
    </xf>
    <xf numFmtId="0" fontId="1" fillId="0" borderId="4" xfId="22" applyFont="1" applyFill="1" applyBorder="1" applyAlignment="1">
      <alignment horizontal="left"/>
      <protection/>
    </xf>
    <xf numFmtId="0" fontId="1" fillId="0" borderId="1" xfId="26" applyFont="1" applyFill="1" applyBorder="1" applyAlignment="1">
      <alignment horizontal="left"/>
      <protection/>
    </xf>
    <xf numFmtId="0" fontId="1" fillId="0" borderId="1" xfId="26" applyFont="1" applyFill="1" applyBorder="1" applyAlignment="1">
      <alignment horizontal="right"/>
      <protection/>
    </xf>
    <xf numFmtId="0" fontId="1" fillId="0" borderId="57" xfId="26" applyFont="1" applyFill="1" applyBorder="1" applyAlignment="1">
      <alignment horizontal="left"/>
      <protection/>
    </xf>
    <xf numFmtId="0" fontId="1" fillId="0" borderId="22" xfId="26" applyFont="1" applyFill="1" applyBorder="1" applyAlignment="1">
      <alignment horizontal="right"/>
      <protection/>
    </xf>
    <xf numFmtId="0" fontId="1" fillId="0" borderId="21" xfId="26" applyFont="1" applyFill="1" applyBorder="1" applyAlignment="1">
      <alignment horizontal="left"/>
      <protection/>
    </xf>
    <xf numFmtId="0" fontId="1" fillId="0" borderId="21" xfId="26" applyFont="1" applyFill="1" applyBorder="1" applyAlignment="1">
      <alignment horizontal="right"/>
      <protection/>
    </xf>
    <xf numFmtId="0" fontId="1" fillId="0" borderId="23" xfId="26" applyFont="1" applyFill="1" applyBorder="1" applyAlignment="1">
      <alignment horizontal="right"/>
      <protection/>
    </xf>
    <xf numFmtId="2" fontId="1" fillId="0" borderId="21" xfId="26" applyNumberFormat="1" applyFont="1" applyFill="1" applyBorder="1" applyAlignment="1">
      <alignment horizontal="right"/>
      <protection/>
    </xf>
    <xf numFmtId="0" fontId="1" fillId="0" borderId="23" xfId="26" applyFont="1" applyFill="1" applyBorder="1" applyAlignment="1">
      <alignment horizontal="left"/>
      <protection/>
    </xf>
    <xf numFmtId="0" fontId="1" fillId="0" borderId="55" xfId="26" applyFont="1" applyFill="1" applyBorder="1" applyAlignment="1">
      <alignment horizontal="left"/>
      <protection/>
    </xf>
    <xf numFmtId="0" fontId="1" fillId="0" borderId="24" xfId="26" applyFont="1" applyFill="1" applyBorder="1" applyAlignment="1">
      <alignment horizontal="right"/>
      <protection/>
    </xf>
    <xf numFmtId="0" fontId="1" fillId="0" borderId="19" xfId="26" applyFont="1" applyFill="1" applyBorder="1" applyAlignment="1">
      <alignment horizontal="left"/>
      <protection/>
    </xf>
    <xf numFmtId="0" fontId="1" fillId="0" borderId="19" xfId="26" applyFont="1" applyFill="1" applyBorder="1" applyAlignment="1">
      <alignment horizontal="right"/>
      <protection/>
    </xf>
    <xf numFmtId="0" fontId="1" fillId="0" borderId="25" xfId="26" applyFont="1" applyFill="1" applyBorder="1" applyAlignment="1">
      <alignment horizontal="right"/>
      <protection/>
    </xf>
    <xf numFmtId="2" fontId="1" fillId="0" borderId="19" xfId="26" applyNumberFormat="1" applyFont="1" applyFill="1" applyBorder="1" applyAlignment="1">
      <alignment horizontal="right"/>
      <protection/>
    </xf>
    <xf numFmtId="0" fontId="1" fillId="0" borderId="25" xfId="26" applyFont="1" applyFill="1" applyBorder="1" applyAlignment="1">
      <alignment horizontal="left"/>
      <protection/>
    </xf>
    <xf numFmtId="0" fontId="1" fillId="0" borderId="24" xfId="26" applyFont="1" applyFill="1" applyBorder="1" applyAlignment="1">
      <alignment horizontal="left"/>
      <protection/>
    </xf>
    <xf numFmtId="0" fontId="1" fillId="0" borderId="26" xfId="26" applyFont="1" applyFill="1" applyBorder="1" applyAlignment="1">
      <alignment horizontal="left"/>
      <protection/>
    </xf>
    <xf numFmtId="0" fontId="1" fillId="0" borderId="3" xfId="26" applyFont="1" applyFill="1" applyBorder="1" applyAlignment="1">
      <alignment horizontal="right"/>
      <protection/>
    </xf>
    <xf numFmtId="0" fontId="1" fillId="0" borderId="3" xfId="26" applyFont="1" applyFill="1" applyBorder="1" applyAlignment="1">
      <alignment horizontal="left"/>
      <protection/>
    </xf>
    <xf numFmtId="2" fontId="1" fillId="0" borderId="3" xfId="26" applyNumberFormat="1" applyFont="1" applyFill="1" applyBorder="1" applyAlignment="1">
      <alignment horizontal="right"/>
      <protection/>
    </xf>
    <xf numFmtId="0" fontId="1" fillId="0" borderId="4" xfId="26" applyFont="1" applyFill="1" applyBorder="1" applyAlignment="1">
      <alignment horizontal="left"/>
      <protection/>
    </xf>
    <xf numFmtId="0" fontId="1" fillId="0" borderId="0" xfId="26" applyFont="1" applyFill="1" applyBorder="1" applyAlignment="1">
      <alignment horizontal="left"/>
      <protection/>
    </xf>
    <xf numFmtId="0" fontId="1" fillId="0" borderId="0" xfId="26" applyFont="1" applyFill="1" applyBorder="1" applyAlignment="1">
      <alignment horizontal="right"/>
      <protection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6" fillId="0" borderId="18" xfId="0" applyFont="1" applyBorder="1" applyAlignment="1">
      <alignment horizontal="right"/>
    </xf>
    <xf numFmtId="168" fontId="6" fillId="0" borderId="18" xfId="0" applyNumberFormat="1" applyFont="1" applyBorder="1" applyAlignment="1">
      <alignment/>
    </xf>
    <xf numFmtId="2" fontId="0" fillId="0" borderId="3" xfId="0" applyNumberFormat="1" applyBorder="1" applyAlignment="1">
      <alignment/>
    </xf>
    <xf numFmtId="0" fontId="6" fillId="0" borderId="58" xfId="0" applyFont="1" applyBorder="1" applyAlignment="1">
      <alignment/>
    </xf>
    <xf numFmtId="0" fontId="0" fillId="0" borderId="19" xfId="0" applyBorder="1" applyAlignment="1">
      <alignment horizontal="center" shrinkToFit="1"/>
    </xf>
    <xf numFmtId="17" fontId="0" fillId="0" borderId="59" xfId="0" applyNumberFormat="1" applyBorder="1" applyAlignment="1">
      <alignment/>
    </xf>
    <xf numFmtId="2" fontId="0" fillId="0" borderId="59" xfId="0" applyNumberFormat="1" applyBorder="1" applyAlignment="1">
      <alignment/>
    </xf>
    <xf numFmtId="17" fontId="0" fillId="0" borderId="41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0" borderId="0" xfId="0" applyAlignment="1">
      <alignment shrinkToFit="1"/>
    </xf>
    <xf numFmtId="164" fontId="0" fillId="0" borderId="19" xfId="0" applyNumberFormat="1" applyBorder="1" applyAlignment="1">
      <alignment/>
    </xf>
    <xf numFmtId="168" fontId="0" fillId="0" borderId="0" xfId="0" applyNumberFormat="1" applyAlignment="1">
      <alignment horizontal="right"/>
    </xf>
    <xf numFmtId="165" fontId="0" fillId="0" borderId="19" xfId="0" applyNumberFormat="1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0" fontId="1" fillId="0" borderId="1" xfId="21" applyFont="1" applyFill="1" applyBorder="1" applyAlignment="1">
      <alignment horizontal="left"/>
      <protection/>
    </xf>
    <xf numFmtId="0" fontId="1" fillId="0" borderId="1" xfId="21" applyFont="1" applyFill="1" applyBorder="1" applyAlignment="1">
      <alignment horizontal="right"/>
      <protection/>
    </xf>
    <xf numFmtId="0" fontId="1" fillId="0" borderId="43" xfId="21" applyFont="1" applyFill="1" applyBorder="1" applyAlignment="1">
      <alignment horizontal="left"/>
      <protection/>
    </xf>
    <xf numFmtId="0" fontId="1" fillId="0" borderId="41" xfId="21" applyFont="1" applyFill="1" applyBorder="1" applyAlignment="1">
      <alignment horizontal="right"/>
      <protection/>
    </xf>
    <xf numFmtId="0" fontId="1" fillId="0" borderId="41" xfId="21" applyFont="1" applyFill="1" applyBorder="1" applyAlignment="1">
      <alignment horizontal="left"/>
      <protection/>
    </xf>
    <xf numFmtId="168" fontId="0" fillId="0" borderId="41" xfId="0" applyNumberFormat="1" applyBorder="1" applyAlignment="1">
      <alignment/>
    </xf>
    <xf numFmtId="0" fontId="1" fillId="0" borderId="24" xfId="21" applyFont="1" applyFill="1" applyBorder="1" applyAlignment="1">
      <alignment horizontal="left"/>
      <protection/>
    </xf>
    <xf numFmtId="0" fontId="1" fillId="0" borderId="19" xfId="21" applyFont="1" applyFill="1" applyBorder="1" applyAlignment="1">
      <alignment horizontal="right"/>
      <protection/>
    </xf>
    <xf numFmtId="0" fontId="1" fillId="0" borderId="19" xfId="21" applyFont="1" applyFill="1" applyBorder="1" applyAlignment="1">
      <alignment horizontal="left"/>
      <protection/>
    </xf>
    <xf numFmtId="0" fontId="1" fillId="0" borderId="26" xfId="21" applyFont="1" applyFill="1" applyBorder="1" applyAlignment="1">
      <alignment horizontal="left"/>
      <protection/>
    </xf>
    <xf numFmtId="0" fontId="1" fillId="0" borderId="3" xfId="21" applyFont="1" applyFill="1" applyBorder="1" applyAlignment="1">
      <alignment horizontal="right"/>
      <protection/>
    </xf>
    <xf numFmtId="0" fontId="1" fillId="0" borderId="3" xfId="21" applyFont="1" applyFill="1" applyBorder="1" applyAlignment="1">
      <alignment horizontal="left"/>
      <protection/>
    </xf>
    <xf numFmtId="0" fontId="1" fillId="0" borderId="0" xfId="21" applyFont="1" applyFill="1" applyBorder="1" applyAlignment="1">
      <alignment horizontal="left"/>
      <protection/>
    </xf>
    <xf numFmtId="0" fontId="1" fillId="0" borderId="0" xfId="21" applyFont="1" applyFill="1" applyBorder="1" applyAlignment="1">
      <alignment horizontal="right"/>
      <protection/>
    </xf>
    <xf numFmtId="0" fontId="1" fillId="0" borderId="24" xfId="24" applyFont="1" applyFill="1" applyBorder="1" applyAlignment="1">
      <alignment horizontal="left"/>
      <protection/>
    </xf>
    <xf numFmtId="0" fontId="1" fillId="0" borderId="19" xfId="24" applyFont="1" applyFill="1" applyBorder="1" applyAlignment="1">
      <alignment horizontal="right"/>
      <protection/>
    </xf>
    <xf numFmtId="0" fontId="1" fillId="0" borderId="19" xfId="24" applyFont="1" applyFill="1" applyBorder="1" applyAlignment="1">
      <alignment horizontal="left"/>
      <protection/>
    </xf>
    <xf numFmtId="0" fontId="1" fillId="0" borderId="19" xfId="25" applyFont="1" applyFill="1" applyBorder="1" applyAlignment="1">
      <alignment horizontal="right"/>
      <protection/>
    </xf>
    <xf numFmtId="0" fontId="1" fillId="0" borderId="19" xfId="24" applyNumberFormat="1" applyFont="1" applyFill="1" applyBorder="1" applyAlignment="1">
      <alignment horizontal="right"/>
      <protection/>
    </xf>
    <xf numFmtId="0" fontId="1" fillId="0" borderId="25" xfId="24" applyFont="1" applyFill="1" applyBorder="1" applyAlignment="1">
      <alignment horizontal="left"/>
      <protection/>
    </xf>
    <xf numFmtId="49" fontId="0" fillId="0" borderId="0" xfId="0" applyNumberFormat="1" applyAlignment="1">
      <alignment/>
    </xf>
    <xf numFmtId="0" fontId="1" fillId="0" borderId="26" xfId="24" applyFont="1" applyFill="1" applyBorder="1" applyAlignment="1">
      <alignment horizontal="left"/>
      <protection/>
    </xf>
    <xf numFmtId="0" fontId="1" fillId="0" borderId="3" xfId="24" applyFont="1" applyFill="1" applyBorder="1" applyAlignment="1">
      <alignment horizontal="right"/>
      <protection/>
    </xf>
    <xf numFmtId="0" fontId="1" fillId="0" borderId="3" xfId="24" applyFont="1" applyFill="1" applyBorder="1" applyAlignment="1">
      <alignment horizontal="left"/>
      <protection/>
    </xf>
    <xf numFmtId="0" fontId="1" fillId="0" borderId="3" xfId="25" applyFont="1" applyFill="1" applyBorder="1" applyAlignment="1">
      <alignment horizontal="right"/>
      <protection/>
    </xf>
    <xf numFmtId="0" fontId="1" fillId="0" borderId="3" xfId="24" applyNumberFormat="1" applyFont="1" applyFill="1" applyBorder="1" applyAlignment="1">
      <alignment horizontal="right"/>
      <protection/>
    </xf>
    <xf numFmtId="0" fontId="1" fillId="0" borderId="4" xfId="24" applyFont="1" applyFill="1" applyBorder="1" applyAlignment="1">
      <alignment horizontal="left"/>
      <protection/>
    </xf>
    <xf numFmtId="0" fontId="6" fillId="0" borderId="18" xfId="0" applyNumberFormat="1" applyFont="1" applyBorder="1" applyAlignment="1">
      <alignment/>
    </xf>
    <xf numFmtId="0" fontId="0" fillId="0" borderId="2" xfId="0" applyBorder="1" applyAlignment="1">
      <alignment wrapText="1"/>
    </xf>
    <xf numFmtId="0" fontId="6" fillId="0" borderId="60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6" fillId="0" borderId="61" xfId="0" applyFont="1" applyBorder="1" applyAlignment="1">
      <alignment horizontal="center" wrapText="1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0" fillId="0" borderId="64" xfId="0" applyBorder="1" applyAlignment="1">
      <alignment wrapText="1"/>
    </xf>
    <xf numFmtId="0" fontId="6" fillId="0" borderId="65" xfId="0" applyFont="1" applyBorder="1" applyAlignment="1">
      <alignment horizontal="center" wrapText="1"/>
    </xf>
    <xf numFmtId="0" fontId="0" fillId="0" borderId="65" xfId="0" applyBorder="1" applyAlignment="1">
      <alignment wrapText="1"/>
    </xf>
    <xf numFmtId="0" fontId="0" fillId="0" borderId="66" xfId="0" applyBorder="1" applyAlignment="1">
      <alignment wrapText="1"/>
    </xf>
    <xf numFmtId="0" fontId="0" fillId="0" borderId="67" xfId="0" applyBorder="1" applyAlignment="1">
      <alignment wrapText="1"/>
    </xf>
    <xf numFmtId="0" fontId="6" fillId="0" borderId="20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6" fillId="0" borderId="61" xfId="0" applyFont="1" applyBorder="1" applyAlignment="1">
      <alignment horizontal="center" vertical="top" wrapText="1"/>
    </xf>
    <xf numFmtId="0" fontId="6" fillId="0" borderId="67" xfId="0" applyFont="1" applyBorder="1" applyAlignment="1">
      <alignment horizontal="center" wrapText="1"/>
    </xf>
    <xf numFmtId="0" fontId="6" fillId="0" borderId="66" xfId="0" applyFont="1" applyBorder="1" applyAlignment="1">
      <alignment horizontal="center" vertical="top" wrapText="1"/>
    </xf>
    <xf numFmtId="0" fontId="0" fillId="0" borderId="6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6" fillId="0" borderId="60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6" fillId="0" borderId="19" xfId="0" applyFont="1" applyBorder="1" applyAlignment="1">
      <alignment horizontal="center" vertical="top" wrapText="1"/>
    </xf>
    <xf numFmtId="0" fontId="6" fillId="0" borderId="68" xfId="0" applyFont="1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6" fillId="0" borderId="21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6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6" fillId="0" borderId="22" xfId="0" applyFont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6" xfId="0" applyBorder="1" applyAlignment="1">
      <alignment wrapText="1"/>
    </xf>
    <xf numFmtId="0" fontId="6" fillId="0" borderId="66" xfId="0" applyFont="1" applyBorder="1" applyAlignment="1">
      <alignment horizontal="center" wrapText="1"/>
    </xf>
    <xf numFmtId="0" fontId="0" fillId="0" borderId="61" xfId="0" applyBorder="1" applyAlignment="1">
      <alignment wrapText="1"/>
    </xf>
    <xf numFmtId="0" fontId="0" fillId="0" borderId="20" xfId="0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21" xfId="0" applyFont="1" applyBorder="1" applyAlignment="1">
      <alignment horizontal="center" vertical="top"/>
    </xf>
    <xf numFmtId="0" fontId="0" fillId="0" borderId="21" xfId="0" applyBorder="1" applyAlignment="1">
      <alignment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7" xfId="0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8" xfId="0" applyFont="1" applyBorder="1" applyAlignment="1">
      <alignment/>
    </xf>
    <xf numFmtId="0" fontId="0" fillId="0" borderId="3" xfId="0" applyBorder="1" applyAlignment="1">
      <alignment horizontal="center" vertical="top"/>
    </xf>
    <xf numFmtId="0" fontId="6" fillId="0" borderId="26" xfId="0" applyFont="1" applyBorder="1" applyAlignment="1">
      <alignment/>
    </xf>
    <xf numFmtId="0" fontId="0" fillId="0" borderId="3" xfId="0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69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3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25" xfId="0" applyNumberFormat="1" applyFont="1" applyBorder="1" applyAlignment="1">
      <alignment horizontal="center" wrapText="1"/>
    </xf>
    <xf numFmtId="2" fontId="6" fillId="0" borderId="27" xfId="0" applyNumberFormat="1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5" xfId="0" applyFont="1" applyBorder="1" applyAlignment="1">
      <alignment/>
    </xf>
    <xf numFmtId="168" fontId="6" fillId="0" borderId="21" xfId="0" applyNumberFormat="1" applyFont="1" applyBorder="1" applyAlignment="1">
      <alignment horizontal="center" wrapText="1"/>
    </xf>
    <xf numFmtId="168" fontId="6" fillId="0" borderId="19" xfId="0" applyNumberFormat="1" applyFont="1" applyBorder="1" applyAlignment="1">
      <alignment horizontal="center" wrapText="1"/>
    </xf>
    <xf numFmtId="168" fontId="6" fillId="0" borderId="20" xfId="0" applyNumberFormat="1" applyFont="1" applyBorder="1" applyAlignment="1">
      <alignment horizontal="center" wrapText="1"/>
    </xf>
    <xf numFmtId="2" fontId="6" fillId="0" borderId="21" xfId="0" applyNumberFormat="1" applyFont="1" applyBorder="1" applyAlignment="1">
      <alignment horizontal="center" wrapText="1"/>
    </xf>
    <xf numFmtId="2" fontId="6" fillId="0" borderId="19" xfId="0" applyNumberFormat="1" applyFont="1" applyBorder="1" applyAlignment="1">
      <alignment horizontal="center" wrapText="1"/>
    </xf>
    <xf numFmtId="2" fontId="6" fillId="0" borderId="20" xfId="0" applyNumberFormat="1" applyFont="1" applyBorder="1" applyAlignment="1">
      <alignment horizontal="center" wrapText="1"/>
    </xf>
    <xf numFmtId="0" fontId="6" fillId="0" borderId="66" xfId="0" applyFont="1" applyBorder="1" applyAlignment="1">
      <alignment horizontal="center"/>
    </xf>
    <xf numFmtId="0" fontId="6" fillId="0" borderId="61" xfId="0" applyFont="1" applyBorder="1" applyAlignment="1">
      <alignment/>
    </xf>
    <xf numFmtId="0" fontId="6" fillId="0" borderId="59" xfId="0" applyFont="1" applyBorder="1" applyAlignment="1">
      <alignment horizontal="center" wrapText="1"/>
    </xf>
    <xf numFmtId="0" fontId="6" fillId="0" borderId="70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72" xfId="0" applyFont="1" applyBorder="1" applyAlignment="1">
      <alignment horizontal="center" wrapText="1"/>
    </xf>
    <xf numFmtId="0" fontId="6" fillId="0" borderId="73" xfId="0" applyFont="1" applyBorder="1" applyAlignment="1">
      <alignment horizontal="center" wrapText="1"/>
    </xf>
    <xf numFmtId="0" fontId="6" fillId="0" borderId="74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6" fillId="0" borderId="80" xfId="0" applyFont="1" applyBorder="1" applyAlignment="1">
      <alignment horizontal="center" wrapText="1"/>
    </xf>
    <xf numFmtId="0" fontId="6" fillId="0" borderId="81" xfId="0" applyFont="1" applyBorder="1" applyAlignment="1">
      <alignment horizontal="center" wrapText="1"/>
    </xf>
    <xf numFmtId="2" fontId="6" fillId="0" borderId="60" xfId="0" applyNumberFormat="1" applyFont="1" applyBorder="1" applyAlignment="1">
      <alignment horizontal="center" wrapText="1"/>
    </xf>
    <xf numFmtId="2" fontId="6" fillId="0" borderId="59" xfId="0" applyNumberFormat="1" applyFont="1" applyBorder="1" applyAlignment="1">
      <alignment horizontal="center" wrapText="1"/>
    </xf>
    <xf numFmtId="0" fontId="6" fillId="0" borderId="24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9" xfId="0" applyBorder="1" applyAlignment="1">
      <alignment/>
    </xf>
    <xf numFmtId="0" fontId="0" fillId="0" borderId="0" xfId="0" applyAlignment="1">
      <alignment wrapText="1"/>
    </xf>
    <xf numFmtId="0" fontId="0" fillId="0" borderId="59" xfId="0" applyBorder="1" applyAlignment="1">
      <alignment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0" fillId="0" borderId="59" xfId="0" applyBorder="1" applyAlignment="1">
      <alignment horizontal="center" vertical="top"/>
    </xf>
    <xf numFmtId="0" fontId="6" fillId="0" borderId="66" xfId="0" applyFont="1" applyBorder="1" applyAlignment="1">
      <alignment horizontal="center" vertical="top"/>
    </xf>
    <xf numFmtId="0" fontId="6" fillId="0" borderId="60" xfId="0" applyFont="1" applyBorder="1" applyAlignment="1">
      <alignment horizontal="center" vertical="top"/>
    </xf>
    <xf numFmtId="0" fontId="6" fillId="0" borderId="72" xfId="0" applyFont="1" applyBorder="1" applyAlignment="1">
      <alignment horizontal="right"/>
    </xf>
    <xf numFmtId="0" fontId="0" fillId="0" borderId="73" xfId="0" applyBorder="1" applyAlignment="1">
      <alignment horizontal="right"/>
    </xf>
    <xf numFmtId="0" fontId="0" fillId="0" borderId="0" xfId="0" applyBorder="1" applyAlignment="1">
      <alignment/>
    </xf>
    <xf numFmtId="0" fontId="6" fillId="0" borderId="74" xfId="0" applyFont="1" applyBorder="1" applyAlignment="1">
      <alignment horizontal="center" vertical="top"/>
    </xf>
    <xf numFmtId="0" fontId="0" fillId="0" borderId="67" xfId="0" applyBorder="1" applyAlignment="1">
      <alignment/>
    </xf>
    <xf numFmtId="0" fontId="0" fillId="0" borderId="77" xfId="0" applyBorder="1" applyAlignment="1">
      <alignment/>
    </xf>
    <xf numFmtId="0" fontId="0" fillId="0" borderId="75" xfId="0" applyBorder="1" applyAlignment="1">
      <alignment/>
    </xf>
    <xf numFmtId="0" fontId="0" fillId="0" borderId="63" xfId="0" applyBorder="1" applyAlignment="1">
      <alignment/>
    </xf>
    <xf numFmtId="0" fontId="0" fillId="0" borderId="40" xfId="0" applyBorder="1" applyAlignment="1">
      <alignment/>
    </xf>
    <xf numFmtId="0" fontId="6" fillId="0" borderId="67" xfId="0" applyFont="1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0" fillId="0" borderId="41" xfId="0" applyBorder="1" applyAlignment="1">
      <alignment horizontal="center" wrapText="1"/>
    </xf>
    <xf numFmtId="0" fontId="6" fillId="0" borderId="68" xfId="0" applyFont="1" applyBorder="1" applyAlignment="1">
      <alignment horizontal="center" vertical="top"/>
    </xf>
    <xf numFmtId="0" fontId="6" fillId="0" borderId="82" xfId="0" applyFont="1" applyBorder="1" applyAlignment="1">
      <alignment horizontal="center" vertical="top"/>
    </xf>
    <xf numFmtId="0" fontId="6" fillId="0" borderId="34" xfId="0" applyFont="1" applyBorder="1" applyAlignment="1">
      <alignment horizontal="center" vertical="top"/>
    </xf>
    <xf numFmtId="0" fontId="0" fillId="0" borderId="68" xfId="0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0" fillId="0" borderId="43" xfId="0" applyBorder="1" applyAlignment="1">
      <alignment horizontal="center" vertical="top"/>
    </xf>
    <xf numFmtId="0" fontId="6" fillId="0" borderId="25" xfId="0" applyFont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82" xfId="0" applyBorder="1" applyAlignment="1">
      <alignment horizontal="center" vertical="top"/>
    </xf>
    <xf numFmtId="0" fontId="0" fillId="0" borderId="61" xfId="0" applyBorder="1" applyAlignment="1">
      <alignment horizontal="center" vertical="top"/>
    </xf>
    <xf numFmtId="0" fontId="0" fillId="0" borderId="41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 horizontal="right"/>
    </xf>
    <xf numFmtId="0" fontId="0" fillId="0" borderId="83" xfId="0" applyBorder="1" applyAlignment="1">
      <alignment/>
    </xf>
    <xf numFmtId="0" fontId="6" fillId="0" borderId="57" xfId="0" applyFont="1" applyBorder="1" applyAlignment="1">
      <alignment horizontal="center"/>
    </xf>
    <xf numFmtId="0" fontId="6" fillId="0" borderId="55" xfId="0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57" xfId="0" applyFont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  <xf numFmtId="0" fontId="6" fillId="0" borderId="56" xfId="0" applyFont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2" fontId="6" fillId="0" borderId="3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84" xfId="0" applyFont="1" applyBorder="1" applyAlignment="1">
      <alignment/>
    </xf>
    <xf numFmtId="2" fontId="6" fillId="0" borderId="74" xfId="0" applyNumberFormat="1" applyFont="1" applyBorder="1" applyAlignment="1">
      <alignment horizontal="center" wrapText="1"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6" fillId="0" borderId="79" xfId="0" applyFont="1" applyBorder="1" applyAlignment="1">
      <alignment/>
    </xf>
    <xf numFmtId="0" fontId="6" fillId="0" borderId="68" xfId="0" applyFont="1" applyBorder="1" applyAlignment="1">
      <alignment/>
    </xf>
    <xf numFmtId="0" fontId="0" fillId="0" borderId="62" xfId="0" applyBorder="1" applyAlignment="1">
      <alignment/>
    </xf>
    <xf numFmtId="0" fontId="0" fillId="0" borderId="87" xfId="0" applyBorder="1" applyAlignment="1">
      <alignment/>
    </xf>
    <xf numFmtId="0" fontId="6" fillId="0" borderId="31" xfId="0" applyFont="1" applyBorder="1" applyAlignment="1">
      <alignment horizontal="center" wrapText="1"/>
    </xf>
    <xf numFmtId="168" fontId="6" fillId="0" borderId="3" xfId="0" applyNumberFormat="1" applyFont="1" applyBorder="1" applyAlignment="1">
      <alignment horizontal="center" wrapText="1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vis Cty Energy" xfId="21"/>
    <cellStyle name="Normal_Hunter" xfId="22"/>
    <cellStyle name="Normal_IPP" xfId="23"/>
    <cellStyle name="Normal_Sheet1" xfId="24"/>
    <cellStyle name="Normal_Sheet2" xfId="25"/>
    <cellStyle name="Normal_Sheet4" xfId="26"/>
    <cellStyle name="Normal_Tom Brown" xfId="27"/>
    <cellStyle name="Normal_Wasatch Cons.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6"/>
  <sheetViews>
    <sheetView workbookViewId="0" topLeftCell="A1">
      <selection activeCell="B25" sqref="B25"/>
    </sheetView>
  </sheetViews>
  <sheetFormatPr defaultColWidth="9.140625" defaultRowHeight="12.75"/>
  <cols>
    <col min="1" max="1" width="8.140625" style="0" customWidth="1"/>
    <col min="2" max="2" width="8.7109375" style="0" customWidth="1"/>
    <col min="3" max="3" width="7.57421875" style="0" customWidth="1"/>
    <col min="4" max="4" width="10.7109375" style="0" customWidth="1"/>
    <col min="5" max="5" width="20.7109375" style="0" customWidth="1"/>
    <col min="6" max="6" width="9.8515625" style="0" customWidth="1"/>
    <col min="7" max="7" width="11.140625" style="0" customWidth="1"/>
    <col min="8" max="8" width="10.140625" style="0" customWidth="1"/>
    <col min="9" max="9" width="8.421875" style="0" customWidth="1"/>
    <col min="10" max="10" width="8.28125" style="0" customWidth="1"/>
    <col min="11" max="11" width="8.140625" style="0" customWidth="1"/>
    <col min="12" max="13" width="8.28125" style="0" customWidth="1"/>
    <col min="15" max="15" width="7.421875" style="0" customWidth="1"/>
    <col min="16" max="16" width="5.7109375" style="0" customWidth="1"/>
    <col min="20" max="20" width="11.140625" style="0" customWidth="1"/>
    <col min="22" max="22" width="9.7109375" style="0" customWidth="1"/>
    <col min="23" max="23" width="10.00390625" style="0" customWidth="1"/>
    <col min="24" max="24" width="11.57421875" style="0" customWidth="1"/>
    <col min="25" max="25" width="8.421875" style="0" customWidth="1"/>
    <col min="26" max="26" width="8.8515625" style="0" customWidth="1"/>
    <col min="27" max="27" width="11.7109375" style="0" customWidth="1"/>
    <col min="28" max="28" width="44.140625" style="0" customWidth="1"/>
  </cols>
  <sheetData>
    <row r="1" spans="1:5" s="3" customFormat="1" ht="15.75">
      <c r="A1" s="1" t="s">
        <v>0</v>
      </c>
      <c r="B1" s="2"/>
      <c r="E1" s="4" t="s">
        <v>1</v>
      </c>
    </row>
    <row r="2" spans="1:5" s="3" customFormat="1" ht="15">
      <c r="A2" s="2"/>
      <c r="B2" s="2"/>
      <c r="E2" s="5" t="s">
        <v>87</v>
      </c>
    </row>
    <row r="3" spans="1:3" s="3" customFormat="1" ht="12.75">
      <c r="A3" s="2" t="s">
        <v>2</v>
      </c>
      <c r="B3" s="2" t="s">
        <v>3</v>
      </c>
      <c r="C3" s="1" t="s">
        <v>4</v>
      </c>
    </row>
    <row r="4" spans="1:2" s="3" customFormat="1" ht="12.75">
      <c r="A4" s="6">
        <v>10335</v>
      </c>
      <c r="B4" s="2"/>
    </row>
    <row r="5" s="3" customFormat="1" ht="13.5" thickBot="1"/>
    <row r="6" spans="1:30" s="3" customFormat="1" ht="16.5" customHeight="1">
      <c r="A6" s="401" t="s">
        <v>5</v>
      </c>
      <c r="B6" s="404" t="s">
        <v>6</v>
      </c>
      <c r="C6" s="407" t="s">
        <v>7</v>
      </c>
      <c r="D6" s="399" t="s">
        <v>8</v>
      </c>
      <c r="E6" s="399" t="s">
        <v>9</v>
      </c>
      <c r="F6" s="399" t="s">
        <v>10</v>
      </c>
      <c r="G6" s="399" t="s">
        <v>11</v>
      </c>
      <c r="H6" s="399" t="s">
        <v>12</v>
      </c>
      <c r="I6" s="380" t="s">
        <v>13</v>
      </c>
      <c r="J6" s="376"/>
      <c r="K6" s="376"/>
      <c r="L6" s="370"/>
      <c r="M6" s="373" t="s">
        <v>14</v>
      </c>
      <c r="N6" s="374"/>
      <c r="O6" s="374"/>
      <c r="P6" s="375"/>
      <c r="Q6" s="367" t="s">
        <v>15</v>
      </c>
      <c r="R6" s="384" t="s">
        <v>16</v>
      </c>
      <c r="S6" s="391"/>
      <c r="T6" s="390" t="s">
        <v>17</v>
      </c>
      <c r="U6" s="391"/>
      <c r="V6" s="384" t="s">
        <v>18</v>
      </c>
      <c r="W6" s="387" t="s">
        <v>19</v>
      </c>
      <c r="X6" s="392" t="s">
        <v>20</v>
      </c>
      <c r="Y6" s="381" t="s">
        <v>21</v>
      </c>
      <c r="Z6" s="384" t="s">
        <v>22</v>
      </c>
      <c r="AA6" s="384" t="s">
        <v>23</v>
      </c>
      <c r="AB6" s="387" t="s">
        <v>24</v>
      </c>
      <c r="AC6" s="7"/>
      <c r="AD6" s="7"/>
    </row>
    <row r="7" spans="1:30" s="9" customFormat="1" ht="24.75" customHeight="1">
      <c r="A7" s="402"/>
      <c r="B7" s="405"/>
      <c r="C7" s="408"/>
      <c r="D7" s="400"/>
      <c r="E7" s="400"/>
      <c r="F7" s="400"/>
      <c r="G7" s="400"/>
      <c r="H7" s="400"/>
      <c r="I7" s="371"/>
      <c r="J7" s="371"/>
      <c r="K7" s="371"/>
      <c r="L7" s="372"/>
      <c r="M7" s="369" t="s">
        <v>25</v>
      </c>
      <c r="N7" s="63" t="s">
        <v>26</v>
      </c>
      <c r="O7" s="63" t="s">
        <v>27</v>
      </c>
      <c r="P7" s="63" t="s">
        <v>28</v>
      </c>
      <c r="Q7" s="368"/>
      <c r="R7" s="396" t="s">
        <v>29</v>
      </c>
      <c r="S7" s="397" t="s">
        <v>30</v>
      </c>
      <c r="T7" s="377" t="s">
        <v>31</v>
      </c>
      <c r="U7" s="379" t="s">
        <v>30</v>
      </c>
      <c r="V7" s="385"/>
      <c r="W7" s="388"/>
      <c r="X7" s="393"/>
      <c r="Y7" s="382"/>
      <c r="Z7" s="385"/>
      <c r="AA7" s="385"/>
      <c r="AB7" s="388"/>
      <c r="AC7" s="8"/>
      <c r="AD7" s="8"/>
    </row>
    <row r="8" spans="1:33" s="3" customFormat="1" ht="25.5" customHeight="1" thickBot="1">
      <c r="A8" s="403"/>
      <c r="B8" s="406"/>
      <c r="C8" s="366"/>
      <c r="D8" s="395"/>
      <c r="E8" s="395"/>
      <c r="F8" s="395"/>
      <c r="G8" s="395"/>
      <c r="H8" s="395"/>
      <c r="I8" s="10" t="s">
        <v>32</v>
      </c>
      <c r="J8" s="11" t="s">
        <v>33</v>
      </c>
      <c r="K8" s="11" t="s">
        <v>34</v>
      </c>
      <c r="L8" s="12" t="s">
        <v>26</v>
      </c>
      <c r="M8" s="366"/>
      <c r="N8" s="395"/>
      <c r="O8" s="395"/>
      <c r="P8" s="395"/>
      <c r="Q8" s="378"/>
      <c r="R8" s="386"/>
      <c r="S8" s="398"/>
      <c r="T8" s="378"/>
      <c r="U8" s="383"/>
      <c r="V8" s="386"/>
      <c r="W8" s="389"/>
      <c r="X8" s="394"/>
      <c r="Y8" s="383"/>
      <c r="Z8" s="386"/>
      <c r="AA8" s="386"/>
      <c r="AB8" s="389"/>
      <c r="AC8" s="13"/>
      <c r="AD8" s="13"/>
      <c r="AE8" s="14"/>
      <c r="AF8" s="14"/>
      <c r="AG8" s="14"/>
    </row>
    <row r="9" spans="1:33" s="3" customFormat="1" ht="12.75">
      <c r="A9" s="15" t="s">
        <v>35</v>
      </c>
      <c r="B9" s="16">
        <v>1234</v>
      </c>
      <c r="C9" s="17" t="s">
        <v>36</v>
      </c>
      <c r="D9" s="18">
        <v>10200701</v>
      </c>
      <c r="E9" s="17" t="s">
        <v>37</v>
      </c>
      <c r="F9" s="18" t="s">
        <v>38</v>
      </c>
      <c r="G9" s="18">
        <v>4</v>
      </c>
      <c r="H9" s="17" t="s">
        <v>39</v>
      </c>
      <c r="I9" s="18">
        <v>1551.9</v>
      </c>
      <c r="J9" s="17" t="s">
        <v>40</v>
      </c>
      <c r="K9" s="18">
        <v>60000</v>
      </c>
      <c r="L9" s="17" t="s">
        <v>88</v>
      </c>
      <c r="M9" s="16">
        <v>0</v>
      </c>
      <c r="N9" s="18">
        <v>0</v>
      </c>
      <c r="O9" s="18" t="s">
        <v>42</v>
      </c>
      <c r="P9" s="18" t="s">
        <v>42</v>
      </c>
      <c r="Q9" s="18" t="s">
        <v>43</v>
      </c>
      <c r="R9" s="17" t="s">
        <v>44</v>
      </c>
      <c r="S9" s="18">
        <v>45</v>
      </c>
      <c r="T9" s="19"/>
      <c r="U9" s="18">
        <v>0</v>
      </c>
      <c r="V9" s="20">
        <v>0</v>
      </c>
      <c r="W9" s="21">
        <f>Z9*I9/2000</f>
        <v>7.099942500000001</v>
      </c>
      <c r="X9" s="50">
        <v>0</v>
      </c>
      <c r="Y9" s="18">
        <v>2</v>
      </c>
      <c r="Z9" s="22">
        <v>9.15</v>
      </c>
      <c r="AA9" s="17" t="s">
        <v>45</v>
      </c>
      <c r="AB9" s="23" t="s">
        <v>65</v>
      </c>
      <c r="AC9" s="14"/>
      <c r="AD9" s="14"/>
      <c r="AE9" s="14"/>
      <c r="AF9" s="14"/>
      <c r="AG9" s="14"/>
    </row>
    <row r="10" spans="1:33" s="3" customFormat="1" ht="12.75">
      <c r="A10" s="24" t="s">
        <v>35</v>
      </c>
      <c r="B10" s="25">
        <v>1235</v>
      </c>
      <c r="C10" s="26" t="s">
        <v>35</v>
      </c>
      <c r="D10" s="27">
        <v>10200701</v>
      </c>
      <c r="E10" s="26" t="s">
        <v>46</v>
      </c>
      <c r="F10" s="27" t="s">
        <v>38</v>
      </c>
      <c r="G10" s="27">
        <v>5</v>
      </c>
      <c r="H10" s="26" t="s">
        <v>39</v>
      </c>
      <c r="I10" s="27">
        <v>1136.6</v>
      </c>
      <c r="J10" s="26" t="s">
        <v>40</v>
      </c>
      <c r="K10" s="27">
        <v>11000</v>
      </c>
      <c r="L10" s="26" t="s">
        <v>88</v>
      </c>
      <c r="M10" s="25">
        <v>0</v>
      </c>
      <c r="N10" s="27">
        <v>0</v>
      </c>
      <c r="O10" s="27" t="s">
        <v>42</v>
      </c>
      <c r="P10" s="27" t="s">
        <v>42</v>
      </c>
      <c r="Q10" s="27" t="s">
        <v>43</v>
      </c>
      <c r="R10" s="26" t="s">
        <v>44</v>
      </c>
      <c r="S10" s="27">
        <v>45</v>
      </c>
      <c r="T10" s="28"/>
      <c r="U10" s="27">
        <v>0</v>
      </c>
      <c r="V10" s="29">
        <v>0</v>
      </c>
      <c r="W10" s="29">
        <f>Z10*I10/2000</f>
        <v>5.199945</v>
      </c>
      <c r="X10" s="51">
        <v>0</v>
      </c>
      <c r="Y10" s="27">
        <v>2</v>
      </c>
      <c r="Z10" s="30">
        <v>9.15</v>
      </c>
      <c r="AA10" s="26" t="s">
        <v>45</v>
      </c>
      <c r="AB10" s="31" t="s">
        <v>73</v>
      </c>
      <c r="AC10" s="32"/>
      <c r="AD10" s="32"/>
      <c r="AE10" s="14"/>
      <c r="AF10" s="14"/>
      <c r="AG10" s="14"/>
    </row>
    <row r="11" spans="1:33" s="3" customFormat="1" ht="12.75">
      <c r="A11" s="24" t="s">
        <v>35</v>
      </c>
      <c r="B11" s="25">
        <v>1236</v>
      </c>
      <c r="C11" s="26" t="s">
        <v>47</v>
      </c>
      <c r="D11" s="27">
        <v>10200701</v>
      </c>
      <c r="E11" s="26" t="s">
        <v>48</v>
      </c>
      <c r="F11" s="27" t="s">
        <v>38</v>
      </c>
      <c r="G11" s="27">
        <v>6</v>
      </c>
      <c r="H11" s="26" t="s">
        <v>39</v>
      </c>
      <c r="I11" s="27">
        <v>65.57</v>
      </c>
      <c r="J11" s="26" t="s">
        <v>40</v>
      </c>
      <c r="K11" s="27">
        <v>326000</v>
      </c>
      <c r="L11" s="26" t="s">
        <v>49</v>
      </c>
      <c r="M11" s="25">
        <v>0</v>
      </c>
      <c r="N11" s="27">
        <v>0</v>
      </c>
      <c r="O11" s="27" t="s">
        <v>42</v>
      </c>
      <c r="P11" s="27" t="s">
        <v>42</v>
      </c>
      <c r="Q11" s="27" t="s">
        <v>43</v>
      </c>
      <c r="R11" s="26" t="s">
        <v>44</v>
      </c>
      <c r="S11" s="27">
        <v>45</v>
      </c>
      <c r="T11" s="28"/>
      <c r="U11" s="27">
        <v>0</v>
      </c>
      <c r="V11" s="33">
        <v>0</v>
      </c>
      <c r="W11" s="29">
        <f>Z11*I11/2000</f>
        <v>0.29998274999999996</v>
      </c>
      <c r="X11" s="52">
        <v>0</v>
      </c>
      <c r="Y11" s="27">
        <v>2</v>
      </c>
      <c r="Z11" s="30">
        <v>9.15</v>
      </c>
      <c r="AA11" s="26" t="s">
        <v>45</v>
      </c>
      <c r="AB11" s="31" t="s">
        <v>70</v>
      </c>
      <c r="AC11" s="14"/>
      <c r="AD11" s="14"/>
      <c r="AE11" s="14"/>
      <c r="AF11" s="14"/>
      <c r="AG11" s="14"/>
    </row>
    <row r="12" spans="1:33" s="3" customFormat="1" ht="12.75">
      <c r="A12" s="24" t="s">
        <v>35</v>
      </c>
      <c r="B12" s="25">
        <v>3095</v>
      </c>
      <c r="C12" s="26" t="s">
        <v>50</v>
      </c>
      <c r="D12" s="27">
        <v>30600105</v>
      </c>
      <c r="E12" s="26" t="s">
        <v>51</v>
      </c>
      <c r="F12" s="27" t="s">
        <v>52</v>
      </c>
      <c r="G12" s="27">
        <v>2056</v>
      </c>
      <c r="H12" s="26" t="s">
        <v>53</v>
      </c>
      <c r="I12" s="27">
        <v>8760</v>
      </c>
      <c r="J12" s="26" t="s">
        <v>54</v>
      </c>
      <c r="K12" s="27">
        <v>22000</v>
      </c>
      <c r="L12" s="26" t="s">
        <v>55</v>
      </c>
      <c r="M12" s="25">
        <v>0</v>
      </c>
      <c r="N12" s="27">
        <v>0</v>
      </c>
      <c r="O12" s="27" t="s">
        <v>42</v>
      </c>
      <c r="P12" s="27" t="s">
        <v>42</v>
      </c>
      <c r="Q12" s="27" t="s">
        <v>43</v>
      </c>
      <c r="R12" s="26" t="s">
        <v>44</v>
      </c>
      <c r="S12" s="27">
        <v>45</v>
      </c>
      <c r="T12" s="28"/>
      <c r="U12" s="27">
        <v>0</v>
      </c>
      <c r="V12" s="33">
        <v>95</v>
      </c>
      <c r="W12" s="29">
        <f>Z12*I12/2000+23.51</f>
        <v>301.202</v>
      </c>
      <c r="X12" s="52">
        <v>5</v>
      </c>
      <c r="Y12" s="27">
        <v>10</v>
      </c>
      <c r="Z12" s="30">
        <v>63.4</v>
      </c>
      <c r="AA12" s="26" t="s">
        <v>56</v>
      </c>
      <c r="AB12" s="31" t="s">
        <v>89</v>
      </c>
      <c r="AC12" s="14"/>
      <c r="AD12" s="14"/>
      <c r="AE12" s="14"/>
      <c r="AF12" s="14"/>
      <c r="AG12" s="14"/>
    </row>
    <row r="13" spans="1:33" s="3" customFormat="1" ht="12.75">
      <c r="A13" s="24" t="s">
        <v>35</v>
      </c>
      <c r="B13" s="25">
        <v>3286</v>
      </c>
      <c r="C13" s="26" t="s">
        <v>57</v>
      </c>
      <c r="D13" s="27">
        <v>10201402</v>
      </c>
      <c r="E13" s="26" t="s">
        <v>58</v>
      </c>
      <c r="F13" s="27" t="s">
        <v>38</v>
      </c>
      <c r="G13" s="27">
        <v>7</v>
      </c>
      <c r="H13" s="26" t="s">
        <v>39</v>
      </c>
      <c r="I13" s="27">
        <v>8760</v>
      </c>
      <c r="J13" s="26" t="s">
        <v>54</v>
      </c>
      <c r="K13" s="27">
        <v>777100</v>
      </c>
      <c r="L13" s="26" t="s">
        <v>59</v>
      </c>
      <c r="M13" s="25">
        <v>669</v>
      </c>
      <c r="N13" s="27" t="s">
        <v>60</v>
      </c>
      <c r="O13" s="27">
        <v>0.005</v>
      </c>
      <c r="P13" s="27">
        <v>0</v>
      </c>
      <c r="Q13" s="27" t="s">
        <v>43</v>
      </c>
      <c r="R13" s="26" t="s">
        <v>61</v>
      </c>
      <c r="S13" s="27">
        <v>99</v>
      </c>
      <c r="T13" s="28"/>
      <c r="U13" s="27">
        <v>0</v>
      </c>
      <c r="V13" s="33">
        <v>0</v>
      </c>
      <c r="W13" s="29">
        <f>Z13*I13/2000</f>
        <v>715.035</v>
      </c>
      <c r="X13" s="52">
        <v>0</v>
      </c>
      <c r="Y13" s="27">
        <v>10</v>
      </c>
      <c r="Z13" s="30">
        <v>163.25</v>
      </c>
      <c r="AA13" s="26" t="s">
        <v>56</v>
      </c>
      <c r="AB13" s="31" t="s">
        <v>62</v>
      </c>
      <c r="AC13" s="14"/>
      <c r="AD13" s="14"/>
      <c r="AE13" s="14"/>
      <c r="AF13" s="14"/>
      <c r="AG13" s="14"/>
    </row>
    <row r="14" spans="1:33" s="3" customFormat="1" ht="12.75">
      <c r="A14" s="24" t="s">
        <v>35</v>
      </c>
      <c r="B14" s="25">
        <v>3287</v>
      </c>
      <c r="C14" s="26" t="s">
        <v>63</v>
      </c>
      <c r="D14" s="27">
        <v>10200701</v>
      </c>
      <c r="E14" s="26" t="s">
        <v>64</v>
      </c>
      <c r="F14" s="27" t="s">
        <v>38</v>
      </c>
      <c r="G14" s="27">
        <v>8</v>
      </c>
      <c r="H14" s="26" t="s">
        <v>39</v>
      </c>
      <c r="I14" s="27">
        <v>2207.7</v>
      </c>
      <c r="J14" s="26" t="s">
        <v>40</v>
      </c>
      <c r="K14" s="27">
        <v>46.25</v>
      </c>
      <c r="L14" s="26" t="s">
        <v>41</v>
      </c>
      <c r="M14" s="25">
        <v>733</v>
      </c>
      <c r="N14" s="27" t="s">
        <v>60</v>
      </c>
      <c r="O14" s="27">
        <v>0.005</v>
      </c>
      <c r="P14" s="27">
        <v>0</v>
      </c>
      <c r="Q14" s="27" t="s">
        <v>43</v>
      </c>
      <c r="R14" s="26" t="s">
        <v>44</v>
      </c>
      <c r="S14" s="27">
        <v>45</v>
      </c>
      <c r="T14" s="28"/>
      <c r="U14" s="27">
        <v>0</v>
      </c>
      <c r="V14" s="33">
        <v>0</v>
      </c>
      <c r="W14" s="29">
        <f>Z14*I14/2000</f>
        <v>10.100227499999999</v>
      </c>
      <c r="X14" s="52">
        <v>0</v>
      </c>
      <c r="Y14" s="27">
        <v>1</v>
      </c>
      <c r="Z14" s="30">
        <v>9.15</v>
      </c>
      <c r="AA14" s="26" t="s">
        <v>45</v>
      </c>
      <c r="AB14" s="31" t="s">
        <v>65</v>
      </c>
      <c r="AC14" s="14"/>
      <c r="AD14" s="14"/>
      <c r="AE14" s="14"/>
      <c r="AF14" s="14"/>
      <c r="AG14" s="14"/>
    </row>
    <row r="15" spans="1:33" s="3" customFormat="1" ht="12.75">
      <c r="A15" s="24" t="s">
        <v>35</v>
      </c>
      <c r="B15" s="25">
        <v>3288</v>
      </c>
      <c r="C15" s="26" t="s">
        <v>66</v>
      </c>
      <c r="D15" s="27">
        <v>30600107</v>
      </c>
      <c r="E15" s="26" t="s">
        <v>67</v>
      </c>
      <c r="F15" s="27" t="s">
        <v>52</v>
      </c>
      <c r="G15" s="27">
        <v>9</v>
      </c>
      <c r="H15" s="26" t="s">
        <v>68</v>
      </c>
      <c r="I15" s="27">
        <v>14.67</v>
      </c>
      <c r="J15" s="26" t="s">
        <v>40</v>
      </c>
      <c r="K15" s="27">
        <v>8760</v>
      </c>
      <c r="L15" s="26" t="s">
        <v>69</v>
      </c>
      <c r="M15" s="25">
        <v>1000</v>
      </c>
      <c r="N15" s="27" t="s">
        <v>60</v>
      </c>
      <c r="O15" s="27">
        <v>0</v>
      </c>
      <c r="P15" s="27">
        <v>0</v>
      </c>
      <c r="Q15" s="27" t="s">
        <v>43</v>
      </c>
      <c r="R15" s="28"/>
      <c r="S15" s="28"/>
      <c r="T15" s="28"/>
      <c r="U15" s="28"/>
      <c r="V15" s="28"/>
      <c r="W15" s="29">
        <f>Z15*I15/2000</f>
        <v>0.06711525</v>
      </c>
      <c r="X15" s="52">
        <v>0</v>
      </c>
      <c r="Y15" s="27">
        <v>2</v>
      </c>
      <c r="Z15" s="30">
        <v>9.15</v>
      </c>
      <c r="AA15" s="26" t="s">
        <v>45</v>
      </c>
      <c r="AB15" s="31" t="s">
        <v>70</v>
      </c>
      <c r="AC15" s="32"/>
      <c r="AD15" s="32"/>
      <c r="AE15" s="14"/>
      <c r="AF15" s="14"/>
      <c r="AG15" s="14"/>
    </row>
    <row r="16" spans="1:33" s="3" customFormat="1" ht="12.75">
      <c r="A16" s="24" t="s">
        <v>35</v>
      </c>
      <c r="B16" s="25">
        <v>3289</v>
      </c>
      <c r="C16" s="26" t="s">
        <v>71</v>
      </c>
      <c r="D16" s="27">
        <v>30600903</v>
      </c>
      <c r="E16" s="26" t="s">
        <v>72</v>
      </c>
      <c r="F16" s="27" t="s">
        <v>52</v>
      </c>
      <c r="G16" s="27">
        <v>10</v>
      </c>
      <c r="H16" s="26" t="s">
        <v>39</v>
      </c>
      <c r="I16" s="27"/>
      <c r="J16" s="26"/>
      <c r="K16" s="27">
        <v>39939</v>
      </c>
      <c r="L16" s="26" t="s">
        <v>59</v>
      </c>
      <c r="M16" s="25">
        <v>733</v>
      </c>
      <c r="N16" s="27" t="s">
        <v>60</v>
      </c>
      <c r="O16" s="27">
        <v>0.005</v>
      </c>
      <c r="P16" s="27">
        <v>0</v>
      </c>
      <c r="Q16" s="27" t="s">
        <v>43</v>
      </c>
      <c r="R16" s="26"/>
      <c r="S16" s="27"/>
      <c r="T16" s="26"/>
      <c r="U16" s="27"/>
      <c r="V16" s="33"/>
      <c r="W16" s="29">
        <v>1.7</v>
      </c>
      <c r="X16" s="52">
        <v>0</v>
      </c>
      <c r="Y16" s="27">
        <v>2</v>
      </c>
      <c r="Z16" s="30">
        <v>9.15</v>
      </c>
      <c r="AA16" s="26" t="s">
        <v>45</v>
      </c>
      <c r="AB16" s="31" t="s">
        <v>73</v>
      </c>
      <c r="AC16" s="32"/>
      <c r="AD16" s="32"/>
      <c r="AE16" s="14"/>
      <c r="AF16" s="14"/>
      <c r="AG16" s="14"/>
    </row>
    <row r="17" spans="1:33" s="3" customFormat="1" ht="12.75">
      <c r="A17" s="24" t="s">
        <v>35</v>
      </c>
      <c r="B17" s="25">
        <v>3290</v>
      </c>
      <c r="C17" s="26" t="s">
        <v>74</v>
      </c>
      <c r="D17" s="27">
        <v>30600903</v>
      </c>
      <c r="E17" s="26" t="s">
        <v>75</v>
      </c>
      <c r="F17" s="27" t="s">
        <v>52</v>
      </c>
      <c r="G17" s="27">
        <v>11</v>
      </c>
      <c r="H17" s="26" t="s">
        <v>39</v>
      </c>
      <c r="I17" s="27">
        <v>65.57</v>
      </c>
      <c r="J17" s="26" t="s">
        <v>40</v>
      </c>
      <c r="K17" s="27">
        <v>39939</v>
      </c>
      <c r="L17" s="26" t="s">
        <v>59</v>
      </c>
      <c r="M17" s="25">
        <v>669</v>
      </c>
      <c r="N17" s="27" t="s">
        <v>60</v>
      </c>
      <c r="O17" s="27">
        <v>0.005</v>
      </c>
      <c r="P17" s="27">
        <v>0</v>
      </c>
      <c r="Q17" s="27" t="s">
        <v>43</v>
      </c>
      <c r="R17" s="26"/>
      <c r="S17" s="27"/>
      <c r="T17" s="26"/>
      <c r="U17" s="27"/>
      <c r="V17" s="33"/>
      <c r="W17" s="29">
        <v>0.3</v>
      </c>
      <c r="X17" s="52">
        <v>0</v>
      </c>
      <c r="Y17" s="27">
        <v>2</v>
      </c>
      <c r="Z17" s="30">
        <v>9.15</v>
      </c>
      <c r="AA17" s="26" t="s">
        <v>45</v>
      </c>
      <c r="AB17" s="31" t="s">
        <v>76</v>
      </c>
      <c r="AC17" s="32"/>
      <c r="AD17" s="32"/>
      <c r="AE17" s="14"/>
      <c r="AF17" s="14"/>
      <c r="AG17" s="14"/>
    </row>
    <row r="18" spans="1:33" s="3" customFormat="1" ht="12.75">
      <c r="A18" s="24" t="s">
        <v>35</v>
      </c>
      <c r="B18" s="25">
        <v>4350</v>
      </c>
      <c r="C18" s="26" t="s">
        <v>77</v>
      </c>
      <c r="D18" s="27">
        <v>30600111</v>
      </c>
      <c r="E18" s="26" t="s">
        <v>64</v>
      </c>
      <c r="F18" s="27" t="s">
        <v>38</v>
      </c>
      <c r="G18" s="27">
        <v>1789</v>
      </c>
      <c r="H18" s="26" t="s">
        <v>78</v>
      </c>
      <c r="I18" s="28">
        <v>3611</v>
      </c>
      <c r="J18" s="26" t="s">
        <v>79</v>
      </c>
      <c r="K18" s="27"/>
      <c r="L18" s="26"/>
      <c r="M18" s="25">
        <v>141921</v>
      </c>
      <c r="N18" s="27" t="s">
        <v>80</v>
      </c>
      <c r="O18" s="27">
        <v>1.25</v>
      </c>
      <c r="P18" s="27">
        <v>0</v>
      </c>
      <c r="Q18" s="27" t="s">
        <v>43</v>
      </c>
      <c r="R18" s="26"/>
      <c r="S18" s="27"/>
      <c r="T18" s="26"/>
      <c r="U18" s="27"/>
      <c r="V18" s="33"/>
      <c r="W18" s="29">
        <f>Z18*I18/2000</f>
        <v>324.99</v>
      </c>
      <c r="X18" s="52">
        <v>0</v>
      </c>
      <c r="Y18" s="27">
        <v>5</v>
      </c>
      <c r="Z18" s="30">
        <v>180</v>
      </c>
      <c r="AA18" s="26" t="s">
        <v>81</v>
      </c>
      <c r="AB18" s="31" t="s">
        <v>82</v>
      </c>
      <c r="AC18" s="32"/>
      <c r="AD18" s="32"/>
      <c r="AE18" s="14"/>
      <c r="AF18" s="14"/>
      <c r="AG18" s="14"/>
    </row>
    <row r="19" spans="1:33" s="3" customFormat="1" ht="13.5" thickBot="1">
      <c r="A19" s="34" t="s">
        <v>35</v>
      </c>
      <c r="B19" s="35">
        <v>14661</v>
      </c>
      <c r="C19" s="36" t="s">
        <v>83</v>
      </c>
      <c r="D19" s="37">
        <v>30600903</v>
      </c>
      <c r="E19" s="36" t="s">
        <v>84</v>
      </c>
      <c r="F19" s="37" t="s">
        <v>38</v>
      </c>
      <c r="G19" s="37">
        <v>11</v>
      </c>
      <c r="H19" s="36" t="s">
        <v>68</v>
      </c>
      <c r="I19" s="37">
        <v>101</v>
      </c>
      <c r="J19" s="36" t="s">
        <v>40</v>
      </c>
      <c r="K19" s="37"/>
      <c r="L19" s="36"/>
      <c r="M19" s="35">
        <v>1000</v>
      </c>
      <c r="N19" s="37" t="s">
        <v>60</v>
      </c>
      <c r="O19" s="37">
        <v>0</v>
      </c>
      <c r="P19" s="37">
        <v>0</v>
      </c>
      <c r="Q19" s="37" t="s">
        <v>43</v>
      </c>
      <c r="R19" s="36"/>
      <c r="S19" s="37"/>
      <c r="T19" s="36"/>
      <c r="U19" s="37"/>
      <c r="V19" s="38"/>
      <c r="W19" s="39">
        <v>0</v>
      </c>
      <c r="X19" s="53">
        <v>0</v>
      </c>
      <c r="Y19" s="40">
        <v>3</v>
      </c>
      <c r="Z19" s="41">
        <v>0.6</v>
      </c>
      <c r="AA19" s="42" t="s">
        <v>45</v>
      </c>
      <c r="AB19" s="43" t="s">
        <v>85</v>
      </c>
      <c r="AC19" s="32"/>
      <c r="AD19" s="32"/>
      <c r="AE19" s="14"/>
      <c r="AF19" s="14"/>
      <c r="AG19" s="14"/>
    </row>
    <row r="20" spans="1:73" s="3" customFormat="1" ht="13.5" thickBo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32"/>
      <c r="R20" s="14"/>
      <c r="S20" s="14"/>
      <c r="T20" s="32"/>
      <c r="U20" s="14"/>
      <c r="V20" s="44" t="s">
        <v>86</v>
      </c>
      <c r="W20" s="45">
        <f>SUM(W9:W19)</f>
        <v>1365.994213</v>
      </c>
      <c r="X20" s="14"/>
      <c r="Y20" s="14"/>
      <c r="Z20" s="46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</row>
    <row r="21" spans="1:3" s="48" customFormat="1" ht="13.5" thickTop="1">
      <c r="A21" s="47"/>
      <c r="C21" s="49" t="s">
        <v>90</v>
      </c>
    </row>
    <row r="22" spans="1:3" s="48" customFormat="1" ht="12.75">
      <c r="A22" s="47"/>
      <c r="C22" s="48" t="s">
        <v>91</v>
      </c>
    </row>
    <row r="23" spans="1:3" s="48" customFormat="1" ht="12.75">
      <c r="A23" s="47"/>
      <c r="C23" s="48" t="s">
        <v>94</v>
      </c>
    </row>
    <row r="24" s="48" customFormat="1" ht="12.75">
      <c r="C24" s="48" t="s">
        <v>93</v>
      </c>
    </row>
    <row r="25" s="48" customFormat="1" ht="12.75"/>
    <row r="26" s="48" customFormat="1" ht="12.75">
      <c r="C26" s="48" t="s">
        <v>92</v>
      </c>
    </row>
    <row r="27" s="48" customFormat="1" ht="12.75"/>
  </sheetData>
  <mergeCells count="28">
    <mergeCell ref="A6:A8"/>
    <mergeCell ref="B6:B8"/>
    <mergeCell ref="C6:C8"/>
    <mergeCell ref="D6:D8"/>
    <mergeCell ref="E6:E8"/>
    <mergeCell ref="F6:F8"/>
    <mergeCell ref="G6:G8"/>
    <mergeCell ref="H6:H8"/>
    <mergeCell ref="I6:L7"/>
    <mergeCell ref="M6:P6"/>
    <mergeCell ref="Q6:Q8"/>
    <mergeCell ref="R6:S6"/>
    <mergeCell ref="M7:M8"/>
    <mergeCell ref="N7:N8"/>
    <mergeCell ref="O7:O8"/>
    <mergeCell ref="P7:P8"/>
    <mergeCell ref="R7:R8"/>
    <mergeCell ref="S7:S8"/>
    <mergeCell ref="T6:U6"/>
    <mergeCell ref="V6:V8"/>
    <mergeCell ref="W6:W8"/>
    <mergeCell ref="X6:X8"/>
    <mergeCell ref="T7:T8"/>
    <mergeCell ref="U7:U8"/>
    <mergeCell ref="Y6:Y8"/>
    <mergeCell ref="Z6:Z8"/>
    <mergeCell ref="AA6:AA8"/>
    <mergeCell ref="AB6:AB8"/>
  </mergeCells>
  <printOptions/>
  <pageMargins left="0.73" right="0.75" top="1.29" bottom="1" header="0.42" footer="0.5"/>
  <pageSetup horizontalDpi="600" verticalDpi="600" orientation="landscape" r:id="rId1"/>
  <headerFooter alignWithMargins="0">
    <oddHeader>&amp;L
Chevron (Tesoro West Coast)
Site:  Salt Lake City Refinery
Site ID:  10335&amp;CRegional Haze
2000 Statewide SOx Sources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N16"/>
  <sheetViews>
    <sheetView workbookViewId="0" topLeftCell="A1">
      <selection activeCell="D28" sqref="D28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8515625" style="0" customWidth="1"/>
    <col min="5" max="5" width="14.57421875" style="0" customWidth="1"/>
    <col min="6" max="6" width="8.140625" style="0" customWidth="1"/>
    <col min="7" max="7" width="10.421875" style="0" customWidth="1"/>
    <col min="8" max="8" width="15.57421875" style="0" customWidth="1"/>
    <col min="10" max="10" width="8.28125" style="0" customWidth="1"/>
    <col min="11" max="11" width="7.7109375" style="0" customWidth="1"/>
    <col min="12" max="12" width="10.00390625" style="0" customWidth="1"/>
    <col min="13" max="13" width="8.28125" style="0" customWidth="1"/>
    <col min="14" max="15" width="7.421875" style="0" customWidth="1"/>
    <col min="16" max="16" width="6.28125" style="0" customWidth="1"/>
    <col min="18" max="18" width="15.57421875" style="0" customWidth="1"/>
    <col min="20" max="20" width="18.7109375" style="0" customWidth="1"/>
    <col min="22" max="22" width="9.7109375" style="0" customWidth="1"/>
    <col min="23" max="23" width="10.421875" style="0" customWidth="1"/>
    <col min="24" max="24" width="11.7109375" style="0" customWidth="1"/>
    <col min="25" max="26" width="8.7109375" style="0" customWidth="1"/>
    <col min="27" max="27" width="11.8515625" style="0" customWidth="1"/>
    <col min="28" max="28" width="11.421875" style="0" customWidth="1"/>
    <col min="29" max="29" width="29.140625" style="0" customWidth="1"/>
  </cols>
  <sheetData>
    <row r="1" spans="1:5" ht="15.75">
      <c r="A1" s="59" t="s">
        <v>560</v>
      </c>
      <c r="B1" s="59"/>
      <c r="E1" s="4" t="s">
        <v>1</v>
      </c>
    </row>
    <row r="2" spans="1:5" ht="15">
      <c r="A2" s="59"/>
      <c r="B2" s="59"/>
      <c r="E2" s="5" t="s">
        <v>561</v>
      </c>
    </row>
    <row r="3" spans="1:3" ht="12.75">
      <c r="A3" s="59" t="s">
        <v>2</v>
      </c>
      <c r="B3" s="59" t="s">
        <v>3</v>
      </c>
      <c r="C3" s="201" t="s">
        <v>562</v>
      </c>
    </row>
    <row r="4" spans="1:2" ht="12.75">
      <c r="A4" s="59">
        <v>10327</v>
      </c>
      <c r="B4" s="59"/>
    </row>
    <row r="5" ht="13.5" thickBot="1"/>
    <row r="6" spans="1:66" ht="16.5" customHeight="1">
      <c r="A6" s="401" t="s">
        <v>5</v>
      </c>
      <c r="B6" s="404" t="s">
        <v>6</v>
      </c>
      <c r="C6" s="399" t="s">
        <v>7</v>
      </c>
      <c r="D6" s="399" t="s">
        <v>8</v>
      </c>
      <c r="E6" s="399" t="s">
        <v>9</v>
      </c>
      <c r="F6" s="399" t="s">
        <v>10</v>
      </c>
      <c r="G6" s="399" t="s">
        <v>11</v>
      </c>
      <c r="H6" s="399" t="s">
        <v>12</v>
      </c>
      <c r="I6" s="426" t="s">
        <v>13</v>
      </c>
      <c r="J6" s="439"/>
      <c r="K6" s="439"/>
      <c r="L6" s="440"/>
      <c r="M6" s="418" t="s">
        <v>14</v>
      </c>
      <c r="N6" s="439"/>
      <c r="O6" s="439"/>
      <c r="P6" s="439"/>
      <c r="Q6" s="399" t="s">
        <v>15</v>
      </c>
      <c r="R6" s="426" t="s">
        <v>16</v>
      </c>
      <c r="S6" s="426"/>
      <c r="T6" s="426" t="s">
        <v>17</v>
      </c>
      <c r="U6" s="426"/>
      <c r="V6" s="399" t="s">
        <v>18</v>
      </c>
      <c r="W6" s="445" t="s">
        <v>99</v>
      </c>
      <c r="X6" s="431" t="s">
        <v>100</v>
      </c>
      <c r="Y6" s="404" t="s">
        <v>21</v>
      </c>
      <c r="Z6" s="399" t="s">
        <v>22</v>
      </c>
      <c r="AA6" s="399" t="s">
        <v>23</v>
      </c>
      <c r="AB6" s="431" t="s">
        <v>24</v>
      </c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</row>
    <row r="7" spans="1:66" s="9" customFormat="1" ht="24.75" customHeight="1">
      <c r="A7" s="427"/>
      <c r="B7" s="419"/>
      <c r="C7" s="429"/>
      <c r="D7" s="429"/>
      <c r="E7" s="429"/>
      <c r="F7" s="429"/>
      <c r="G7" s="429"/>
      <c r="H7" s="429"/>
      <c r="I7" s="429"/>
      <c r="J7" s="429"/>
      <c r="K7" s="429"/>
      <c r="L7" s="441"/>
      <c r="M7" s="419"/>
      <c r="N7" s="429"/>
      <c r="O7" s="429"/>
      <c r="P7" s="429"/>
      <c r="Q7" s="424"/>
      <c r="R7" s="63" t="s">
        <v>29</v>
      </c>
      <c r="S7" s="63" t="s">
        <v>30</v>
      </c>
      <c r="T7" s="63" t="s">
        <v>101</v>
      </c>
      <c r="U7" s="63" t="s">
        <v>30</v>
      </c>
      <c r="V7" s="63"/>
      <c r="W7" s="446"/>
      <c r="X7" s="432"/>
      <c r="Y7" s="437"/>
      <c r="Z7" s="63"/>
      <c r="AA7" s="424"/>
      <c r="AB7" s="432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</row>
    <row r="8" spans="1:66" ht="25.5" customHeight="1" thickBot="1">
      <c r="A8" s="428"/>
      <c r="B8" s="420"/>
      <c r="C8" s="430"/>
      <c r="D8" s="430"/>
      <c r="E8" s="430"/>
      <c r="F8" s="430"/>
      <c r="G8" s="430"/>
      <c r="H8" s="430"/>
      <c r="I8" s="58" t="s">
        <v>32</v>
      </c>
      <c r="J8" s="58" t="s">
        <v>33</v>
      </c>
      <c r="K8" s="58" t="s">
        <v>34</v>
      </c>
      <c r="L8" s="111" t="s">
        <v>26</v>
      </c>
      <c r="M8" s="108" t="s">
        <v>25</v>
      </c>
      <c r="N8" s="56" t="s">
        <v>26</v>
      </c>
      <c r="O8" s="56" t="s">
        <v>27</v>
      </c>
      <c r="P8" s="56" t="s">
        <v>28</v>
      </c>
      <c r="Q8" s="424"/>
      <c r="R8" s="63"/>
      <c r="S8" s="63"/>
      <c r="T8" s="424"/>
      <c r="U8" s="63"/>
      <c r="V8" s="63"/>
      <c r="W8" s="446"/>
      <c r="X8" s="432"/>
      <c r="Y8" s="437"/>
      <c r="Z8" s="63"/>
      <c r="AA8" s="424"/>
      <c r="AB8" s="432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</row>
    <row r="9" spans="1:28" ht="12.75">
      <c r="A9" s="202" t="s">
        <v>35</v>
      </c>
      <c r="B9" s="203">
        <v>2381</v>
      </c>
      <c r="C9" s="204" t="s">
        <v>36</v>
      </c>
      <c r="D9" s="205">
        <v>10100201</v>
      </c>
      <c r="E9" s="204" t="s">
        <v>563</v>
      </c>
      <c r="F9" s="113" t="s">
        <v>38</v>
      </c>
      <c r="G9" s="205">
        <v>1709</v>
      </c>
      <c r="H9" s="204" t="s">
        <v>104</v>
      </c>
      <c r="I9" s="205">
        <v>2799081</v>
      </c>
      <c r="J9" s="113" t="s">
        <v>564</v>
      </c>
      <c r="K9" s="113">
        <v>875</v>
      </c>
      <c r="L9" s="115" t="s">
        <v>565</v>
      </c>
      <c r="M9" s="206">
        <v>11885</v>
      </c>
      <c r="N9" s="207" t="s">
        <v>566</v>
      </c>
      <c r="O9" s="207">
        <v>0.5</v>
      </c>
      <c r="P9" s="207">
        <v>8.64</v>
      </c>
      <c r="Q9" s="116" t="s">
        <v>43</v>
      </c>
      <c r="R9" s="116" t="s">
        <v>152</v>
      </c>
      <c r="S9" s="116">
        <v>2</v>
      </c>
      <c r="T9" s="116"/>
      <c r="U9" s="116"/>
      <c r="V9" s="116">
        <v>90</v>
      </c>
      <c r="W9" s="208">
        <v>1855</v>
      </c>
      <c r="X9" s="209"/>
      <c r="Y9" s="194">
        <v>1</v>
      </c>
      <c r="Z9" s="207"/>
      <c r="AA9" s="207" t="s">
        <v>42</v>
      </c>
      <c r="AB9" s="118" t="s">
        <v>214</v>
      </c>
    </row>
    <row r="10" spans="1:28" ht="12.75">
      <c r="A10" s="210" t="s">
        <v>35</v>
      </c>
      <c r="B10" s="206">
        <v>2382</v>
      </c>
      <c r="C10" s="211" t="s">
        <v>567</v>
      </c>
      <c r="D10" s="207">
        <v>10100201</v>
      </c>
      <c r="E10" s="211" t="s">
        <v>563</v>
      </c>
      <c r="F10" s="116" t="s">
        <v>38</v>
      </c>
      <c r="G10" s="207">
        <v>1710</v>
      </c>
      <c r="H10" s="211" t="s">
        <v>104</v>
      </c>
      <c r="I10" s="207">
        <v>2484709</v>
      </c>
      <c r="J10" s="116" t="s">
        <v>564</v>
      </c>
      <c r="K10" s="116">
        <v>875</v>
      </c>
      <c r="L10" s="118" t="s">
        <v>565</v>
      </c>
      <c r="M10" s="206">
        <v>11885</v>
      </c>
      <c r="N10" s="207" t="s">
        <v>566</v>
      </c>
      <c r="O10" s="207">
        <v>0.5</v>
      </c>
      <c r="P10" s="207">
        <v>8.64</v>
      </c>
      <c r="Q10" s="116" t="s">
        <v>43</v>
      </c>
      <c r="R10" s="116" t="s">
        <v>152</v>
      </c>
      <c r="S10" s="116">
        <v>2</v>
      </c>
      <c r="T10" s="116"/>
      <c r="U10" s="116"/>
      <c r="V10" s="116">
        <v>90</v>
      </c>
      <c r="W10" s="208">
        <v>1619.2</v>
      </c>
      <c r="X10" s="209"/>
      <c r="Y10" s="194">
        <v>1</v>
      </c>
      <c r="Z10" s="207"/>
      <c r="AA10" s="207" t="s">
        <v>42</v>
      </c>
      <c r="AB10" s="118" t="s">
        <v>214</v>
      </c>
    </row>
    <row r="11" spans="1:28" ht="12.75">
      <c r="A11" s="210" t="s">
        <v>35</v>
      </c>
      <c r="B11" s="206">
        <v>7237</v>
      </c>
      <c r="C11" s="211" t="s">
        <v>568</v>
      </c>
      <c r="D11" s="207">
        <v>10100201</v>
      </c>
      <c r="E11" s="211" t="s">
        <v>514</v>
      </c>
      <c r="F11" s="116" t="s">
        <v>38</v>
      </c>
      <c r="G11" s="207">
        <v>1709</v>
      </c>
      <c r="H11" s="211" t="s">
        <v>430</v>
      </c>
      <c r="I11" s="207">
        <v>274139</v>
      </c>
      <c r="J11" s="116" t="s">
        <v>569</v>
      </c>
      <c r="K11" s="116"/>
      <c r="L11" s="118"/>
      <c r="M11" s="206">
        <v>137000</v>
      </c>
      <c r="N11" s="207" t="s">
        <v>80</v>
      </c>
      <c r="O11" s="207">
        <v>0.35</v>
      </c>
      <c r="P11" s="207" t="s">
        <v>42</v>
      </c>
      <c r="Q11" s="116" t="s">
        <v>43</v>
      </c>
      <c r="R11" s="116" t="s">
        <v>152</v>
      </c>
      <c r="S11" s="116">
        <v>2</v>
      </c>
      <c r="T11" s="116"/>
      <c r="U11" s="116"/>
      <c r="V11" s="116">
        <v>90</v>
      </c>
      <c r="W11" s="208">
        <f>Z11*I11/1000/2000</f>
        <v>0.274139</v>
      </c>
      <c r="X11" s="209"/>
      <c r="Y11" s="194">
        <v>5</v>
      </c>
      <c r="Z11" s="207">
        <v>2</v>
      </c>
      <c r="AA11" s="116" t="s">
        <v>81</v>
      </c>
      <c r="AB11" s="118"/>
    </row>
    <row r="12" spans="1:28" ht="13.5" thickBot="1">
      <c r="A12" s="212" t="s">
        <v>35</v>
      </c>
      <c r="B12" s="213">
        <v>7239</v>
      </c>
      <c r="C12" s="214" t="s">
        <v>570</v>
      </c>
      <c r="D12" s="215">
        <v>10100201</v>
      </c>
      <c r="E12" s="214" t="s">
        <v>514</v>
      </c>
      <c r="F12" s="119" t="s">
        <v>38</v>
      </c>
      <c r="G12" s="215">
        <v>1710</v>
      </c>
      <c r="H12" s="214" t="s">
        <v>430</v>
      </c>
      <c r="I12" s="215">
        <v>306713</v>
      </c>
      <c r="J12" s="119" t="s">
        <v>569</v>
      </c>
      <c r="K12" s="119"/>
      <c r="L12" s="122"/>
      <c r="M12" s="213">
        <v>19197</v>
      </c>
      <c r="N12" s="215" t="s">
        <v>566</v>
      </c>
      <c r="O12" s="215">
        <v>0.35</v>
      </c>
      <c r="P12" s="215" t="s">
        <v>42</v>
      </c>
      <c r="Q12" s="119" t="s">
        <v>43</v>
      </c>
      <c r="R12" s="119" t="s">
        <v>152</v>
      </c>
      <c r="S12" s="119">
        <v>2</v>
      </c>
      <c r="T12" s="119"/>
      <c r="U12" s="119"/>
      <c r="V12" s="119">
        <v>90</v>
      </c>
      <c r="W12" s="216">
        <f>Z12*I12/1000/2000</f>
        <v>0.306713</v>
      </c>
      <c r="X12" s="217"/>
      <c r="Y12" s="196">
        <v>5</v>
      </c>
      <c r="Z12" s="215">
        <v>2</v>
      </c>
      <c r="AA12" s="119" t="s">
        <v>81</v>
      </c>
      <c r="AB12" s="122"/>
    </row>
    <row r="13" spans="22:24" ht="13.5" thickBot="1">
      <c r="V13" s="94" t="s">
        <v>86</v>
      </c>
      <c r="W13" s="218">
        <f>SUM(W9:W12)</f>
        <v>3474.780852</v>
      </c>
      <c r="X13" s="158"/>
    </row>
    <row r="14" ht="13.5" thickTop="1"/>
    <row r="15" ht="12.75">
      <c r="C15" t="s">
        <v>289</v>
      </c>
    </row>
    <row r="16" ht="12.75">
      <c r="D16" t="s">
        <v>571</v>
      </c>
    </row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</sheetData>
  <mergeCells count="24">
    <mergeCell ref="A6:A8"/>
    <mergeCell ref="B6:B8"/>
    <mergeCell ref="C6:C8"/>
    <mergeCell ref="D6:D8"/>
    <mergeCell ref="E6:E8"/>
    <mergeCell ref="F6:F8"/>
    <mergeCell ref="G6:G8"/>
    <mergeCell ref="H6:H8"/>
    <mergeCell ref="I6:L7"/>
    <mergeCell ref="M6:P7"/>
    <mergeCell ref="Q6:Q8"/>
    <mergeCell ref="R6:S6"/>
    <mergeCell ref="R7:R8"/>
    <mergeCell ref="S7:S8"/>
    <mergeCell ref="T6:U6"/>
    <mergeCell ref="V6:V8"/>
    <mergeCell ref="W6:W8"/>
    <mergeCell ref="X6:X8"/>
    <mergeCell ref="T7:T8"/>
    <mergeCell ref="U7:U8"/>
    <mergeCell ref="Y6:Y8"/>
    <mergeCell ref="Z6:Z8"/>
    <mergeCell ref="AA6:AA8"/>
    <mergeCell ref="AB6:AB8"/>
  </mergeCells>
  <printOptions horizontalCentered="1"/>
  <pageMargins left="0.75" right="0.75" top="1.59" bottom="1" header="0.5" footer="0.5"/>
  <pageSetup horizontalDpi="600" verticalDpi="600" orientation="landscape" r:id="rId1"/>
  <headerFooter alignWithMargins="0">
    <oddHeader>&amp;L
Intermountain Power Service Corp.
Site Name:  Intermountain Generation Station
Site ID:  10327&amp;CRegional Haze
2000 Statewide SOx Sources</oddHeader>
    <oddFooter>&amp;R&amp;D
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E62"/>
  <sheetViews>
    <sheetView tabSelected="1" workbookViewId="0" topLeftCell="A1">
      <selection activeCell="W25" sqref="W25"/>
    </sheetView>
  </sheetViews>
  <sheetFormatPr defaultColWidth="9.140625" defaultRowHeight="12.75"/>
  <cols>
    <col min="1" max="1" width="6.8515625" style="221" customWidth="1"/>
    <col min="2" max="2" width="8.421875" style="0" customWidth="1"/>
    <col min="3" max="3" width="16.421875" style="0" customWidth="1"/>
    <col min="4" max="4" width="9.28125" style="0" customWidth="1"/>
    <col min="5" max="5" width="25.57421875" style="0" customWidth="1"/>
    <col min="6" max="6" width="6.00390625" style="0" customWidth="1"/>
    <col min="7" max="7" width="11.140625" style="0" customWidth="1"/>
    <col min="8" max="8" width="17.00390625" style="0" customWidth="1"/>
    <col min="10" max="10" width="9.8515625" style="0" customWidth="1"/>
    <col min="18" max="18" width="20.7109375" style="0" customWidth="1"/>
    <col min="19" max="19" width="9.28125" style="0" customWidth="1"/>
    <col min="20" max="20" width="17.8515625" style="0" customWidth="1"/>
    <col min="22" max="22" width="10.57421875" style="0" customWidth="1"/>
    <col min="23" max="23" width="11.7109375" style="0" customWidth="1"/>
    <col min="24" max="24" width="11.7109375" style="0" hidden="1" customWidth="1"/>
    <col min="25" max="25" width="0" style="0" hidden="1" customWidth="1"/>
    <col min="27" max="27" width="12.8515625" style="0" customWidth="1"/>
    <col min="28" max="28" width="10.00390625" style="0" customWidth="1"/>
    <col min="29" max="30" width="7.421875" style="0" customWidth="1"/>
    <col min="31" max="31" width="30.140625" style="0" customWidth="1"/>
  </cols>
  <sheetData>
    <row r="1" spans="1:5" ht="15.75">
      <c r="A1" s="2" t="s">
        <v>229</v>
      </c>
      <c r="B1" s="219"/>
      <c r="C1" s="474" t="s">
        <v>572</v>
      </c>
      <c r="E1" s="4" t="s">
        <v>1</v>
      </c>
    </row>
    <row r="2" spans="1:5" ht="15">
      <c r="A2" s="219"/>
      <c r="B2" s="59"/>
      <c r="C2" s="474"/>
      <c r="E2" s="5" t="s">
        <v>95</v>
      </c>
    </row>
    <row r="3" spans="1:3" ht="12.75">
      <c r="A3" s="220" t="s">
        <v>2</v>
      </c>
      <c r="B3" s="59" t="s">
        <v>3</v>
      </c>
      <c r="C3" t="s">
        <v>573</v>
      </c>
    </row>
    <row r="4" spans="1:3" ht="12.75">
      <c r="A4" s="219">
        <v>10346</v>
      </c>
      <c r="B4" s="59" t="s">
        <v>541</v>
      </c>
      <c r="C4" t="s">
        <v>574</v>
      </c>
    </row>
    <row r="5" ht="13.5" thickBot="1">
      <c r="C5" t="s">
        <v>575</v>
      </c>
    </row>
    <row r="6" spans="1:31" ht="12.75">
      <c r="A6" s="482" t="s">
        <v>5</v>
      </c>
      <c r="B6" s="390" t="s">
        <v>6</v>
      </c>
      <c r="C6" s="390" t="s">
        <v>7</v>
      </c>
      <c r="D6" s="390" t="s">
        <v>8</v>
      </c>
      <c r="E6" s="390" t="s">
        <v>9</v>
      </c>
      <c r="F6" s="390" t="s">
        <v>10</v>
      </c>
      <c r="G6" s="390" t="s">
        <v>11</v>
      </c>
      <c r="H6" s="380" t="s">
        <v>12</v>
      </c>
      <c r="I6" s="485" t="s">
        <v>576</v>
      </c>
      <c r="J6" s="486"/>
      <c r="K6" s="486"/>
      <c r="L6" s="487"/>
      <c r="M6" s="491" t="s">
        <v>14</v>
      </c>
      <c r="N6" s="486"/>
      <c r="O6" s="486"/>
      <c r="P6" s="486"/>
      <c r="Q6" s="390" t="s">
        <v>15</v>
      </c>
      <c r="R6" s="480" t="s">
        <v>16</v>
      </c>
      <c r="S6" s="417"/>
      <c r="T6" s="481" t="s">
        <v>17</v>
      </c>
      <c r="U6" s="417"/>
      <c r="V6" s="384" t="s">
        <v>18</v>
      </c>
      <c r="W6" s="384" t="s">
        <v>19</v>
      </c>
      <c r="X6" s="384" t="s">
        <v>100</v>
      </c>
      <c r="Y6" s="384" t="s">
        <v>21</v>
      </c>
      <c r="Z6" s="384" t="s">
        <v>22</v>
      </c>
      <c r="AA6" s="390" t="s">
        <v>23</v>
      </c>
      <c r="AB6" s="367" t="s">
        <v>577</v>
      </c>
      <c r="AC6" s="367" t="s">
        <v>578</v>
      </c>
      <c r="AD6" s="367" t="s">
        <v>579</v>
      </c>
      <c r="AE6" s="387" t="s">
        <v>24</v>
      </c>
    </row>
    <row r="7" spans="1:31" ht="12.75" customHeight="1">
      <c r="A7" s="483"/>
      <c r="B7" s="475"/>
      <c r="C7" s="475"/>
      <c r="D7" s="475"/>
      <c r="E7" s="475"/>
      <c r="F7" s="475"/>
      <c r="G7" s="475"/>
      <c r="H7" s="484"/>
      <c r="I7" s="488"/>
      <c r="J7" s="489"/>
      <c r="K7" s="489"/>
      <c r="L7" s="490"/>
      <c r="M7" s="489"/>
      <c r="N7" s="489"/>
      <c r="O7" s="489"/>
      <c r="P7" s="489"/>
      <c r="Q7" s="479"/>
      <c r="R7" s="379" t="s">
        <v>29</v>
      </c>
      <c r="S7" s="397" t="s">
        <v>30</v>
      </c>
      <c r="T7" s="478" t="s">
        <v>101</v>
      </c>
      <c r="U7" s="379" t="s">
        <v>30</v>
      </c>
      <c r="V7" s="385"/>
      <c r="W7" s="385"/>
      <c r="X7" s="385"/>
      <c r="Y7" s="385"/>
      <c r="Z7" s="385"/>
      <c r="AA7" s="473"/>
      <c r="AB7" s="472"/>
      <c r="AC7" s="472"/>
      <c r="AD7" s="368"/>
      <c r="AE7" s="388"/>
    </row>
    <row r="8" spans="1:31" ht="56.25" customHeight="1" thickBot="1">
      <c r="A8" s="483"/>
      <c r="B8" s="475"/>
      <c r="C8" s="475"/>
      <c r="D8" s="475"/>
      <c r="E8" s="475"/>
      <c r="F8" s="475"/>
      <c r="G8" s="475"/>
      <c r="H8" s="484"/>
      <c r="I8" s="65" t="s">
        <v>32</v>
      </c>
      <c r="J8" s="65" t="s">
        <v>33</v>
      </c>
      <c r="K8" s="65" t="s">
        <v>34</v>
      </c>
      <c r="L8" s="65" t="s">
        <v>26</v>
      </c>
      <c r="M8" s="65" t="s">
        <v>25</v>
      </c>
      <c r="N8" s="65" t="s">
        <v>26</v>
      </c>
      <c r="O8" s="65" t="s">
        <v>27</v>
      </c>
      <c r="P8" s="222" t="s">
        <v>28</v>
      </c>
      <c r="Q8" s="479"/>
      <c r="R8" s="476"/>
      <c r="S8" s="477"/>
      <c r="T8" s="479"/>
      <c r="U8" s="476"/>
      <c r="V8" s="409"/>
      <c r="W8" s="409"/>
      <c r="X8" s="409"/>
      <c r="Y8" s="409"/>
      <c r="Z8" s="409"/>
      <c r="AA8" s="473"/>
      <c r="AB8" s="472"/>
      <c r="AC8" s="472"/>
      <c r="AD8" s="368"/>
      <c r="AE8" s="416"/>
    </row>
    <row r="9" spans="1:31" ht="12.75">
      <c r="A9" s="223" t="s">
        <v>580</v>
      </c>
      <c r="B9" s="113">
        <v>13993</v>
      </c>
      <c r="C9" s="113" t="s">
        <v>581</v>
      </c>
      <c r="D9" s="113">
        <v>10200602</v>
      </c>
      <c r="E9" s="113" t="s">
        <v>582</v>
      </c>
      <c r="F9" s="113" t="s">
        <v>583</v>
      </c>
      <c r="G9" s="113" t="s">
        <v>584</v>
      </c>
      <c r="H9" s="113" t="s">
        <v>109</v>
      </c>
      <c r="I9" s="113">
        <v>374.475</v>
      </c>
      <c r="J9" s="113" t="s">
        <v>296</v>
      </c>
      <c r="K9" s="113"/>
      <c r="L9" s="113"/>
      <c r="M9" s="113"/>
      <c r="N9" s="113"/>
      <c r="O9" s="113">
        <v>0</v>
      </c>
      <c r="P9" s="113">
        <v>0</v>
      </c>
      <c r="Q9" s="113"/>
      <c r="R9" s="113" t="s">
        <v>103</v>
      </c>
      <c r="S9" s="113">
        <v>0</v>
      </c>
      <c r="T9" s="113" t="s">
        <v>103</v>
      </c>
      <c r="U9" s="113">
        <v>0</v>
      </c>
      <c r="V9" s="113">
        <v>0</v>
      </c>
      <c r="W9" s="224">
        <f>Z9*I9/2000</f>
        <v>0.1123425</v>
      </c>
      <c r="X9" s="113">
        <v>0</v>
      </c>
      <c r="Y9" s="113">
        <v>8</v>
      </c>
      <c r="Z9" s="113">
        <v>0.6</v>
      </c>
      <c r="AA9" s="113" t="s">
        <v>585</v>
      </c>
      <c r="AB9" s="113" t="s">
        <v>103</v>
      </c>
      <c r="AC9" s="113" t="s">
        <v>103</v>
      </c>
      <c r="AD9" s="113" t="s">
        <v>103</v>
      </c>
      <c r="AE9" s="115" t="s">
        <v>103</v>
      </c>
    </row>
    <row r="10" spans="1:31" ht="12.75">
      <c r="A10" s="225" t="s">
        <v>580</v>
      </c>
      <c r="B10" s="116">
        <v>13994</v>
      </c>
      <c r="C10" s="116" t="s">
        <v>586</v>
      </c>
      <c r="D10" s="116">
        <v>10200602</v>
      </c>
      <c r="E10" s="116" t="s">
        <v>582</v>
      </c>
      <c r="F10" s="116" t="s">
        <v>583</v>
      </c>
      <c r="G10" s="116" t="s">
        <v>584</v>
      </c>
      <c r="H10" s="116" t="s">
        <v>169</v>
      </c>
      <c r="I10" s="116">
        <v>29.8</v>
      </c>
      <c r="J10" s="116" t="s">
        <v>587</v>
      </c>
      <c r="K10" s="116"/>
      <c r="L10" s="116"/>
      <c r="M10" s="116"/>
      <c r="N10" s="116"/>
      <c r="O10" s="116">
        <v>0</v>
      </c>
      <c r="P10" s="116">
        <v>0</v>
      </c>
      <c r="Q10" s="116"/>
      <c r="R10" s="116" t="s">
        <v>103</v>
      </c>
      <c r="S10" s="116">
        <v>0</v>
      </c>
      <c r="T10" s="116" t="s">
        <v>103</v>
      </c>
      <c r="U10" s="116">
        <v>0</v>
      </c>
      <c r="V10" s="116">
        <v>0</v>
      </c>
      <c r="W10" s="226">
        <f>Z10*I10/2000</f>
        <v>0.10579</v>
      </c>
      <c r="X10" s="116">
        <v>0</v>
      </c>
      <c r="Y10" s="116">
        <v>8</v>
      </c>
      <c r="Z10" s="116">
        <v>7.1</v>
      </c>
      <c r="AA10" s="116" t="s">
        <v>115</v>
      </c>
      <c r="AB10" s="116" t="s">
        <v>103</v>
      </c>
      <c r="AC10" s="116" t="s">
        <v>103</v>
      </c>
      <c r="AD10" s="116" t="s">
        <v>103</v>
      </c>
      <c r="AE10" s="118" t="s">
        <v>103</v>
      </c>
    </row>
    <row r="11" spans="1:31" ht="13.5" customHeight="1">
      <c r="A11" s="225" t="s">
        <v>580</v>
      </c>
      <c r="B11" s="116">
        <v>13998</v>
      </c>
      <c r="C11" s="116" t="s">
        <v>588</v>
      </c>
      <c r="D11" s="116">
        <v>30300599</v>
      </c>
      <c r="E11" s="116" t="s">
        <v>589</v>
      </c>
      <c r="F11" s="116" t="s">
        <v>590</v>
      </c>
      <c r="G11" s="116" t="s">
        <v>588</v>
      </c>
      <c r="H11" s="116"/>
      <c r="I11" s="116"/>
      <c r="J11" s="116"/>
      <c r="K11" s="116"/>
      <c r="L11" s="116"/>
      <c r="M11" s="116"/>
      <c r="N11" s="116"/>
      <c r="O11" s="116">
        <v>0</v>
      </c>
      <c r="P11" s="116">
        <v>0</v>
      </c>
      <c r="Q11" s="116"/>
      <c r="R11" s="116" t="s">
        <v>591</v>
      </c>
      <c r="S11" s="116">
        <v>69</v>
      </c>
      <c r="T11" s="116" t="s">
        <v>103</v>
      </c>
      <c r="U11" s="116">
        <v>0</v>
      </c>
      <c r="V11" s="116">
        <v>99</v>
      </c>
      <c r="W11" s="226">
        <f>Z11*AB11/2000</f>
        <v>0.04392</v>
      </c>
      <c r="X11" s="116">
        <v>0</v>
      </c>
      <c r="Y11" s="116">
        <v>4</v>
      </c>
      <c r="Z11" s="227">
        <v>0.01</v>
      </c>
      <c r="AA11" s="116" t="s">
        <v>49</v>
      </c>
      <c r="AB11" s="116">
        <v>8784</v>
      </c>
      <c r="AC11" s="116" t="s">
        <v>103</v>
      </c>
      <c r="AD11" s="116" t="s">
        <v>103</v>
      </c>
      <c r="AE11" s="118" t="s">
        <v>592</v>
      </c>
    </row>
    <row r="12" spans="1:31" ht="13.5" customHeight="1">
      <c r="A12" s="225" t="s">
        <v>120</v>
      </c>
      <c r="B12" s="116">
        <v>14105</v>
      </c>
      <c r="C12" s="116" t="s">
        <v>593</v>
      </c>
      <c r="D12" s="116">
        <v>20300102</v>
      </c>
      <c r="E12" s="116" t="s">
        <v>594</v>
      </c>
      <c r="F12" s="116" t="s">
        <v>590</v>
      </c>
      <c r="G12" s="116" t="s">
        <v>103</v>
      </c>
      <c r="H12" s="116" t="s">
        <v>218</v>
      </c>
      <c r="I12" s="116"/>
      <c r="J12" s="116"/>
      <c r="K12" s="116"/>
      <c r="L12" s="116"/>
      <c r="M12" s="116"/>
      <c r="N12" s="116"/>
      <c r="O12" s="116">
        <v>0</v>
      </c>
      <c r="P12" s="116">
        <v>0</v>
      </c>
      <c r="Q12" s="116"/>
      <c r="R12" s="116" t="s">
        <v>103</v>
      </c>
      <c r="S12" s="116">
        <v>0</v>
      </c>
      <c r="T12" s="116" t="s">
        <v>103</v>
      </c>
      <c r="U12" s="116">
        <v>0</v>
      </c>
      <c r="V12" s="116">
        <v>0</v>
      </c>
      <c r="W12" s="228">
        <f>Z12*AB12*AC12/(2000*1000)</f>
        <v>0.012870000000000001</v>
      </c>
      <c r="X12" s="116">
        <v>0</v>
      </c>
      <c r="Y12" s="116">
        <v>8</v>
      </c>
      <c r="Z12" s="116">
        <v>2.2</v>
      </c>
      <c r="AA12" s="116" t="s">
        <v>595</v>
      </c>
      <c r="AB12" s="116">
        <v>24</v>
      </c>
      <c r="AC12" s="195">
        <v>487.5</v>
      </c>
      <c r="AD12" s="195" t="s">
        <v>103</v>
      </c>
      <c r="AE12" s="118" t="s">
        <v>103</v>
      </c>
    </row>
    <row r="13" spans="1:31" ht="13.5" customHeight="1">
      <c r="A13" s="225" t="s">
        <v>580</v>
      </c>
      <c r="B13" s="116">
        <v>13970</v>
      </c>
      <c r="C13" s="116" t="s">
        <v>596</v>
      </c>
      <c r="D13" s="116">
        <v>30500599</v>
      </c>
      <c r="E13" s="116" t="s">
        <v>597</v>
      </c>
      <c r="F13" s="116" t="s">
        <v>583</v>
      </c>
      <c r="G13" s="116" t="s">
        <v>598</v>
      </c>
      <c r="H13" s="116" t="s">
        <v>109</v>
      </c>
      <c r="I13" s="116">
        <v>3.443</v>
      </c>
      <c r="J13" s="116" t="s">
        <v>296</v>
      </c>
      <c r="K13" s="116"/>
      <c r="L13" s="116"/>
      <c r="M13" s="116">
        <v>1041</v>
      </c>
      <c r="N13" s="116" t="s">
        <v>60</v>
      </c>
      <c r="O13" s="116">
        <v>0</v>
      </c>
      <c r="P13" s="116">
        <v>0</v>
      </c>
      <c r="Q13" s="116"/>
      <c r="R13" s="116" t="s">
        <v>103</v>
      </c>
      <c r="S13" s="116">
        <v>0</v>
      </c>
      <c r="T13" s="116" t="s">
        <v>103</v>
      </c>
      <c r="U13" s="116">
        <v>0</v>
      </c>
      <c r="V13" s="116">
        <v>0</v>
      </c>
      <c r="W13" s="226">
        <f>Z13*I13/2000</f>
        <v>0.0010329</v>
      </c>
      <c r="X13" s="116"/>
      <c r="Y13" s="116">
        <v>8</v>
      </c>
      <c r="Z13" s="116">
        <v>0.6</v>
      </c>
      <c r="AA13" s="116" t="s">
        <v>585</v>
      </c>
      <c r="AB13" s="116" t="s">
        <v>103</v>
      </c>
      <c r="AC13" s="116" t="s">
        <v>103</v>
      </c>
      <c r="AD13" s="116" t="s">
        <v>103</v>
      </c>
      <c r="AE13" s="118" t="s">
        <v>599</v>
      </c>
    </row>
    <row r="14" spans="1:31" ht="12.75">
      <c r="A14" s="225" t="s">
        <v>580</v>
      </c>
      <c r="B14" s="116">
        <v>13969</v>
      </c>
      <c r="C14" s="116" t="s">
        <v>598</v>
      </c>
      <c r="D14" s="116">
        <v>30300512</v>
      </c>
      <c r="E14" s="116" t="s">
        <v>600</v>
      </c>
      <c r="F14" s="116" t="s">
        <v>583</v>
      </c>
      <c r="G14" s="116" t="s">
        <v>598</v>
      </c>
      <c r="H14" s="116" t="s">
        <v>601</v>
      </c>
      <c r="I14" s="116">
        <v>2312.341</v>
      </c>
      <c r="J14" s="116" t="s">
        <v>296</v>
      </c>
      <c r="K14" s="116"/>
      <c r="L14" s="116"/>
      <c r="M14" s="116">
        <v>1041</v>
      </c>
      <c r="N14" s="116" t="s">
        <v>60</v>
      </c>
      <c r="O14" s="116">
        <v>0</v>
      </c>
      <c r="P14" s="116">
        <v>0</v>
      </c>
      <c r="Q14" s="116"/>
      <c r="R14" s="116" t="s">
        <v>602</v>
      </c>
      <c r="S14" s="116">
        <v>44</v>
      </c>
      <c r="T14" s="116" t="s">
        <v>603</v>
      </c>
      <c r="U14" s="116">
        <v>13</v>
      </c>
      <c r="V14" s="116">
        <v>0</v>
      </c>
      <c r="W14" s="228">
        <f>Z14*AB14/2000</f>
        <v>775.188</v>
      </c>
      <c r="X14" s="116">
        <v>5.8</v>
      </c>
      <c r="Y14" s="116">
        <v>1</v>
      </c>
      <c r="Z14" s="116">
        <v>176.5</v>
      </c>
      <c r="AA14" s="116" t="s">
        <v>49</v>
      </c>
      <c r="AB14" s="116">
        <v>8784</v>
      </c>
      <c r="AC14" s="116" t="s">
        <v>103</v>
      </c>
      <c r="AD14" s="116" t="s">
        <v>103</v>
      </c>
      <c r="AE14" s="118" t="s">
        <v>604</v>
      </c>
    </row>
    <row r="15" spans="1:31" ht="12.75">
      <c r="A15" s="225" t="s">
        <v>580</v>
      </c>
      <c r="B15" s="116">
        <v>21056</v>
      </c>
      <c r="C15" s="116" t="s">
        <v>605</v>
      </c>
      <c r="D15" s="116">
        <v>10200602</v>
      </c>
      <c r="E15" s="116" t="s">
        <v>606</v>
      </c>
      <c r="F15" s="116" t="s">
        <v>583</v>
      </c>
      <c r="G15" s="116" t="s">
        <v>103</v>
      </c>
      <c r="H15" s="116" t="s">
        <v>109</v>
      </c>
      <c r="I15" s="116">
        <v>503.28</v>
      </c>
      <c r="J15" s="116" t="s">
        <v>296</v>
      </c>
      <c r="K15" s="116"/>
      <c r="L15" s="116"/>
      <c r="M15" s="116">
        <v>1041</v>
      </c>
      <c r="N15" s="116" t="s">
        <v>60</v>
      </c>
      <c r="O15" s="116">
        <v>0</v>
      </c>
      <c r="P15" s="116">
        <v>0</v>
      </c>
      <c r="Q15" s="116"/>
      <c r="R15" s="116" t="s">
        <v>103</v>
      </c>
      <c r="S15" s="116">
        <v>0</v>
      </c>
      <c r="T15" s="116" t="s">
        <v>103</v>
      </c>
      <c r="U15" s="116">
        <v>0</v>
      </c>
      <c r="V15" s="116">
        <v>0</v>
      </c>
      <c r="W15" s="228">
        <v>0</v>
      </c>
      <c r="X15" s="116"/>
      <c r="Y15" s="116"/>
      <c r="Z15" s="116"/>
      <c r="AA15" s="116"/>
      <c r="AB15" s="116" t="s">
        <v>103</v>
      </c>
      <c r="AC15" s="116" t="s">
        <v>103</v>
      </c>
      <c r="AD15" s="116" t="s">
        <v>103</v>
      </c>
      <c r="AE15" s="118" t="s">
        <v>607</v>
      </c>
    </row>
    <row r="16" spans="1:31" ht="12.75">
      <c r="A16" s="225" t="s">
        <v>580</v>
      </c>
      <c r="B16" s="116">
        <v>13974</v>
      </c>
      <c r="C16" s="116" t="s">
        <v>608</v>
      </c>
      <c r="D16" s="116">
        <v>10500206</v>
      </c>
      <c r="E16" s="116" t="s">
        <v>609</v>
      </c>
      <c r="F16" s="116" t="s">
        <v>590</v>
      </c>
      <c r="G16" s="116" t="s">
        <v>598</v>
      </c>
      <c r="H16" s="116" t="s">
        <v>109</v>
      </c>
      <c r="I16" s="116">
        <v>155.03</v>
      </c>
      <c r="J16" s="116" t="s">
        <v>296</v>
      </c>
      <c r="K16" s="116"/>
      <c r="L16" s="116"/>
      <c r="M16" s="116">
        <v>1043</v>
      </c>
      <c r="N16" s="116" t="s">
        <v>60</v>
      </c>
      <c r="O16" s="116">
        <v>0</v>
      </c>
      <c r="P16" s="116">
        <v>0</v>
      </c>
      <c r="Q16" s="116"/>
      <c r="R16" s="116" t="s">
        <v>103</v>
      </c>
      <c r="S16" s="116">
        <v>0</v>
      </c>
      <c r="T16" s="116" t="s">
        <v>103</v>
      </c>
      <c r="U16" s="116">
        <v>0</v>
      </c>
      <c r="V16" s="116">
        <v>0</v>
      </c>
      <c r="W16" s="228">
        <v>0</v>
      </c>
      <c r="X16" s="116"/>
      <c r="Y16" s="116"/>
      <c r="Z16" s="116" t="s">
        <v>103</v>
      </c>
      <c r="AA16" s="116" t="s">
        <v>103</v>
      </c>
      <c r="AB16" s="116" t="s">
        <v>103</v>
      </c>
      <c r="AC16" s="116" t="s">
        <v>103</v>
      </c>
      <c r="AD16" s="116" t="s">
        <v>103</v>
      </c>
      <c r="AE16" s="118" t="s">
        <v>599</v>
      </c>
    </row>
    <row r="17" spans="1:31" ht="25.5" customHeight="1">
      <c r="A17" s="225" t="s">
        <v>366</v>
      </c>
      <c r="B17" s="116">
        <v>18017</v>
      </c>
      <c r="C17" s="116" t="s">
        <v>610</v>
      </c>
      <c r="D17" s="116">
        <v>30300505</v>
      </c>
      <c r="E17" s="54" t="s">
        <v>611</v>
      </c>
      <c r="F17" s="116" t="s">
        <v>590</v>
      </c>
      <c r="G17" s="116" t="s">
        <v>103</v>
      </c>
      <c r="H17" s="54" t="s">
        <v>612</v>
      </c>
      <c r="I17" s="116">
        <v>4.245</v>
      </c>
      <c r="J17" s="116" t="s">
        <v>296</v>
      </c>
      <c r="K17" s="116"/>
      <c r="L17" s="116"/>
      <c r="M17" s="116">
        <v>0</v>
      </c>
      <c r="N17" s="116" t="s">
        <v>103</v>
      </c>
      <c r="O17" s="116">
        <v>0</v>
      </c>
      <c r="P17" s="116">
        <v>0</v>
      </c>
      <c r="Q17" s="116"/>
      <c r="R17" s="116" t="s">
        <v>103</v>
      </c>
      <c r="S17" s="116">
        <v>0</v>
      </c>
      <c r="T17" s="116" t="s">
        <v>103</v>
      </c>
      <c r="U17" s="116">
        <v>0</v>
      </c>
      <c r="V17" s="116">
        <v>0</v>
      </c>
      <c r="W17" s="228">
        <f>Z17*AB17/2000</f>
        <v>2.4255</v>
      </c>
      <c r="X17" s="116"/>
      <c r="Y17" s="116">
        <v>2</v>
      </c>
      <c r="Z17" s="116">
        <v>33</v>
      </c>
      <c r="AA17" s="116" t="s">
        <v>49</v>
      </c>
      <c r="AB17" s="116">
        <v>147</v>
      </c>
      <c r="AC17" s="116" t="s">
        <v>103</v>
      </c>
      <c r="AD17" s="116" t="s">
        <v>103</v>
      </c>
      <c r="AE17" s="118" t="s">
        <v>613</v>
      </c>
    </row>
    <row r="18" spans="1:31" ht="24.75" customHeight="1">
      <c r="A18" s="225" t="s">
        <v>366</v>
      </c>
      <c r="B18" s="116">
        <v>21062</v>
      </c>
      <c r="C18" s="116" t="s">
        <v>614</v>
      </c>
      <c r="D18" s="116">
        <v>30300361</v>
      </c>
      <c r="E18" s="54" t="s">
        <v>615</v>
      </c>
      <c r="F18" s="116" t="s">
        <v>590</v>
      </c>
      <c r="G18" s="116" t="s">
        <v>103</v>
      </c>
      <c r="H18" s="54" t="s">
        <v>616</v>
      </c>
      <c r="I18" s="116">
        <v>0</v>
      </c>
      <c r="J18" s="116" t="s">
        <v>103</v>
      </c>
      <c r="K18" s="116"/>
      <c r="L18" s="116"/>
      <c r="M18" s="116">
        <v>0</v>
      </c>
      <c r="N18" s="116" t="s">
        <v>103</v>
      </c>
      <c r="O18" s="116">
        <v>0</v>
      </c>
      <c r="P18" s="116">
        <v>0</v>
      </c>
      <c r="Q18" s="116"/>
      <c r="R18" s="116" t="s">
        <v>103</v>
      </c>
      <c r="S18" s="116">
        <v>0</v>
      </c>
      <c r="T18" s="116" t="s">
        <v>103</v>
      </c>
      <c r="U18" s="116">
        <v>0</v>
      </c>
      <c r="V18" s="116">
        <v>0</v>
      </c>
      <c r="W18" s="228">
        <v>0.4</v>
      </c>
      <c r="X18" s="116"/>
      <c r="Y18" s="116">
        <v>2</v>
      </c>
      <c r="Z18" s="116" t="s">
        <v>103</v>
      </c>
      <c r="AA18" s="116" t="s">
        <v>103</v>
      </c>
      <c r="AB18" s="116" t="s">
        <v>103</v>
      </c>
      <c r="AC18" s="116" t="s">
        <v>103</v>
      </c>
      <c r="AD18" s="116" t="s">
        <v>103</v>
      </c>
      <c r="AE18" s="118" t="s">
        <v>617</v>
      </c>
    </row>
    <row r="19" spans="1:31" ht="12.75">
      <c r="A19" s="225" t="s">
        <v>366</v>
      </c>
      <c r="B19" s="116">
        <v>14180</v>
      </c>
      <c r="C19" s="116" t="s">
        <v>618</v>
      </c>
      <c r="D19" s="116">
        <v>30300510</v>
      </c>
      <c r="E19" s="116" t="s">
        <v>619</v>
      </c>
      <c r="F19" s="116" t="s">
        <v>590</v>
      </c>
      <c r="G19" s="116" t="s">
        <v>103</v>
      </c>
      <c r="H19" s="116" t="s">
        <v>620</v>
      </c>
      <c r="I19" s="116">
        <v>0</v>
      </c>
      <c r="J19" s="116" t="s">
        <v>103</v>
      </c>
      <c r="K19" s="116"/>
      <c r="L19" s="116"/>
      <c r="M19" s="116">
        <v>0</v>
      </c>
      <c r="N19" s="116" t="s">
        <v>103</v>
      </c>
      <c r="O19" s="116">
        <v>0</v>
      </c>
      <c r="P19" s="116">
        <v>0</v>
      </c>
      <c r="Q19" s="116"/>
      <c r="R19" s="116" t="s">
        <v>103</v>
      </c>
      <c r="S19" s="116">
        <v>0</v>
      </c>
      <c r="T19" s="116" t="s">
        <v>103</v>
      </c>
      <c r="U19" s="116">
        <v>0</v>
      </c>
      <c r="V19" s="116">
        <v>0</v>
      </c>
      <c r="W19" s="228">
        <f>Z19*AB19/2000</f>
        <v>158.112</v>
      </c>
      <c r="X19" s="116"/>
      <c r="Y19" s="116">
        <v>6</v>
      </c>
      <c r="Z19" s="116">
        <v>36</v>
      </c>
      <c r="AA19" s="116" t="s">
        <v>49</v>
      </c>
      <c r="AB19" s="116">
        <v>8784</v>
      </c>
      <c r="AC19" s="116" t="s">
        <v>103</v>
      </c>
      <c r="AD19" s="116" t="s">
        <v>103</v>
      </c>
      <c r="AE19" s="118" t="s">
        <v>621</v>
      </c>
    </row>
    <row r="20" spans="1:31" ht="12.75">
      <c r="A20" s="225" t="s">
        <v>366</v>
      </c>
      <c r="B20" s="116">
        <v>14085</v>
      </c>
      <c r="C20" s="116" t="s">
        <v>622</v>
      </c>
      <c r="D20" s="116">
        <v>10500106</v>
      </c>
      <c r="E20" s="116" t="s">
        <v>623</v>
      </c>
      <c r="F20" s="116" t="s">
        <v>590</v>
      </c>
      <c r="G20" s="116" t="s">
        <v>103</v>
      </c>
      <c r="H20" s="116" t="s">
        <v>109</v>
      </c>
      <c r="I20" s="116">
        <v>20</v>
      </c>
      <c r="J20" s="116" t="s">
        <v>296</v>
      </c>
      <c r="K20" s="116"/>
      <c r="L20" s="116"/>
      <c r="M20" s="116">
        <v>0</v>
      </c>
      <c r="N20" s="116" t="s">
        <v>103</v>
      </c>
      <c r="O20" s="116">
        <v>0</v>
      </c>
      <c r="P20" s="116">
        <v>0</v>
      </c>
      <c r="Q20" s="116"/>
      <c r="R20" s="116" t="s">
        <v>103</v>
      </c>
      <c r="S20" s="116">
        <v>0</v>
      </c>
      <c r="T20" s="116" t="s">
        <v>103</v>
      </c>
      <c r="U20" s="116">
        <v>0</v>
      </c>
      <c r="V20" s="116">
        <v>0</v>
      </c>
      <c r="W20" s="226">
        <f>Z20*I20/2000</f>
        <v>0.006</v>
      </c>
      <c r="X20" s="116"/>
      <c r="Y20" s="116">
        <v>8</v>
      </c>
      <c r="Z20" s="116">
        <v>0.6</v>
      </c>
      <c r="AA20" s="116" t="s">
        <v>585</v>
      </c>
      <c r="AB20" s="116" t="s">
        <v>103</v>
      </c>
      <c r="AC20" s="116" t="s">
        <v>103</v>
      </c>
      <c r="AD20" s="116" t="s">
        <v>103</v>
      </c>
      <c r="AE20" s="118" t="s">
        <v>103</v>
      </c>
    </row>
    <row r="21" spans="1:31" ht="12.75">
      <c r="A21" s="225" t="s">
        <v>366</v>
      </c>
      <c r="B21" s="116">
        <v>14086</v>
      </c>
      <c r="C21" s="116" t="s">
        <v>624</v>
      </c>
      <c r="D21" s="116">
        <v>10200603</v>
      </c>
      <c r="E21" s="116" t="s">
        <v>625</v>
      </c>
      <c r="F21" s="116" t="s">
        <v>590</v>
      </c>
      <c r="G21" s="116" t="s">
        <v>103</v>
      </c>
      <c r="H21" s="116" t="s">
        <v>109</v>
      </c>
      <c r="I21" s="116">
        <v>10</v>
      </c>
      <c r="J21" s="116" t="s">
        <v>296</v>
      </c>
      <c r="K21" s="116"/>
      <c r="L21" s="116"/>
      <c r="M21" s="116">
        <v>0</v>
      </c>
      <c r="N21" s="116" t="s">
        <v>103</v>
      </c>
      <c r="O21" s="116">
        <v>0</v>
      </c>
      <c r="P21" s="116">
        <v>0</v>
      </c>
      <c r="Q21" s="116"/>
      <c r="R21" s="116" t="s">
        <v>103</v>
      </c>
      <c r="S21" s="116">
        <v>0</v>
      </c>
      <c r="T21" s="116" t="s">
        <v>103</v>
      </c>
      <c r="U21" s="116">
        <v>0</v>
      </c>
      <c r="V21" s="116">
        <v>0</v>
      </c>
      <c r="W21" s="226">
        <f>Z21*I21/2000</f>
        <v>0.003</v>
      </c>
      <c r="X21" s="116"/>
      <c r="Y21" s="116">
        <v>8</v>
      </c>
      <c r="Z21" s="116">
        <v>0.6</v>
      </c>
      <c r="AA21" s="116" t="s">
        <v>585</v>
      </c>
      <c r="AB21" s="116" t="s">
        <v>103</v>
      </c>
      <c r="AC21" s="116" t="s">
        <v>103</v>
      </c>
      <c r="AD21" s="116" t="s">
        <v>103</v>
      </c>
      <c r="AE21" s="118" t="s">
        <v>103</v>
      </c>
    </row>
    <row r="22" spans="1:31" ht="24.75" customHeight="1">
      <c r="A22" s="225" t="s">
        <v>120</v>
      </c>
      <c r="B22" s="116">
        <v>14095</v>
      </c>
      <c r="C22" s="116" t="s">
        <v>626</v>
      </c>
      <c r="D22" s="116">
        <v>20200102</v>
      </c>
      <c r="E22" s="54" t="s">
        <v>627</v>
      </c>
      <c r="F22" s="116" t="s">
        <v>590</v>
      </c>
      <c r="G22" s="116" t="s">
        <v>103</v>
      </c>
      <c r="H22" s="116" t="s">
        <v>218</v>
      </c>
      <c r="I22" s="116"/>
      <c r="J22" s="116"/>
      <c r="K22" s="116"/>
      <c r="L22" s="116"/>
      <c r="M22" s="116">
        <v>7000</v>
      </c>
      <c r="N22" s="116"/>
      <c r="O22" s="116">
        <v>0.05</v>
      </c>
      <c r="P22" s="116">
        <v>0</v>
      </c>
      <c r="Q22" s="116"/>
      <c r="R22" s="116" t="s">
        <v>103</v>
      </c>
      <c r="S22" s="116">
        <v>0</v>
      </c>
      <c r="T22" s="116" t="s">
        <v>103</v>
      </c>
      <c r="U22" s="116">
        <v>0</v>
      </c>
      <c r="V22" s="116">
        <v>0</v>
      </c>
      <c r="W22" s="228">
        <f>Z22*AB22*AD22*0.05/(453.59*2000)</f>
        <v>0.008677439978835513</v>
      </c>
      <c r="X22" s="116"/>
      <c r="Y22" s="116">
        <v>8</v>
      </c>
      <c r="Z22" s="116">
        <v>4.92</v>
      </c>
      <c r="AA22" s="116" t="s">
        <v>628</v>
      </c>
      <c r="AB22" s="116">
        <v>16</v>
      </c>
      <c r="AC22" s="116">
        <v>2681</v>
      </c>
      <c r="AD22" s="116">
        <v>2000</v>
      </c>
      <c r="AE22" s="118" t="s">
        <v>629</v>
      </c>
    </row>
    <row r="23" spans="1:31" ht="26.25" customHeight="1" thickBot="1">
      <c r="A23" s="229" t="s">
        <v>120</v>
      </c>
      <c r="B23" s="119">
        <v>14096</v>
      </c>
      <c r="C23" s="119" t="s">
        <v>630</v>
      </c>
      <c r="D23" s="119">
        <v>20200102</v>
      </c>
      <c r="E23" s="55" t="s">
        <v>627</v>
      </c>
      <c r="F23" s="119" t="s">
        <v>590</v>
      </c>
      <c r="G23" s="119" t="s">
        <v>103</v>
      </c>
      <c r="H23" s="119" t="s">
        <v>218</v>
      </c>
      <c r="I23" s="119"/>
      <c r="J23" s="119"/>
      <c r="K23" s="119"/>
      <c r="L23" s="119"/>
      <c r="M23" s="119">
        <v>7000</v>
      </c>
      <c r="N23" s="119"/>
      <c r="O23" s="119">
        <v>0.05</v>
      </c>
      <c r="P23" s="119">
        <v>0</v>
      </c>
      <c r="Q23" s="119"/>
      <c r="R23" s="119" t="s">
        <v>103</v>
      </c>
      <c r="S23" s="119">
        <v>0</v>
      </c>
      <c r="T23" s="119" t="s">
        <v>103</v>
      </c>
      <c r="U23" s="119">
        <v>0</v>
      </c>
      <c r="V23" s="119">
        <v>0</v>
      </c>
      <c r="W23" s="230">
        <f>Z23*AB23*AD23*0.05/(453.59*2000)</f>
        <v>0.008135099980158293</v>
      </c>
      <c r="X23" s="119"/>
      <c r="Y23" s="119">
        <v>8</v>
      </c>
      <c r="Z23" s="119">
        <v>4.92</v>
      </c>
      <c r="AA23" s="119" t="s">
        <v>628</v>
      </c>
      <c r="AB23" s="119">
        <v>15</v>
      </c>
      <c r="AC23" s="119">
        <v>2681</v>
      </c>
      <c r="AD23" s="119">
        <v>2000</v>
      </c>
      <c r="AE23" s="122" t="s">
        <v>629</v>
      </c>
    </row>
    <row r="24" spans="22:23" ht="13.5" thickBot="1">
      <c r="V24" s="140" t="s">
        <v>631</v>
      </c>
      <c r="W24" s="231">
        <f>SUM(W9:W23)</f>
        <v>936.4272679399589</v>
      </c>
    </row>
    <row r="25" spans="3:23" ht="13.5" thickTop="1">
      <c r="C25" s="2" t="s">
        <v>125</v>
      </c>
      <c r="W25" s="161"/>
    </row>
    <row r="26" ht="12.75">
      <c r="C26" s="221"/>
    </row>
    <row r="27" spans="3:23" ht="12.75">
      <c r="C27" s="3" t="s">
        <v>632</v>
      </c>
      <c r="E27" t="s">
        <v>633</v>
      </c>
      <c r="W27" s="161"/>
    </row>
    <row r="28" spans="3:23" ht="12.75">
      <c r="C28" s="3" t="s">
        <v>634</v>
      </c>
      <c r="E28" t="s">
        <v>635</v>
      </c>
      <c r="W28" s="161"/>
    </row>
    <row r="29" spans="3:23" ht="12.75">
      <c r="C29" s="3" t="s">
        <v>636</v>
      </c>
      <c r="E29" s="3" t="s">
        <v>637</v>
      </c>
      <c r="W29" s="161"/>
    </row>
    <row r="30" spans="3:23" ht="12.75">
      <c r="C30" s="3" t="s">
        <v>638</v>
      </c>
      <c r="E30" t="s">
        <v>639</v>
      </c>
      <c r="W30" s="161"/>
    </row>
    <row r="31" spans="3:23" ht="12.75">
      <c r="C31" s="221"/>
      <c r="W31" s="161"/>
    </row>
    <row r="32" spans="3:23" ht="12.75">
      <c r="C32" s="3" t="s">
        <v>640</v>
      </c>
      <c r="W32" s="161"/>
    </row>
    <row r="33" spans="3:23" ht="12.75">
      <c r="C33" s="3"/>
      <c r="W33" s="161"/>
    </row>
    <row r="34" spans="3:23" ht="12.75">
      <c r="C34" s="3" t="s">
        <v>641</v>
      </c>
      <c r="W34" s="161"/>
    </row>
    <row r="35" spans="3:23" ht="12.75">
      <c r="C35" s="3" t="s">
        <v>642</v>
      </c>
      <c r="W35" s="161"/>
    </row>
    <row r="36" spans="3:23" ht="12.75">
      <c r="C36" s="3" t="s">
        <v>643</v>
      </c>
      <c r="W36" s="161"/>
    </row>
    <row r="37" spans="3:23" ht="12.75">
      <c r="C37" s="3" t="s">
        <v>644</v>
      </c>
      <c r="W37" s="161"/>
    </row>
    <row r="38" spans="3:23" ht="12.75">
      <c r="C38" s="3"/>
      <c r="W38" s="161"/>
    </row>
    <row r="39" spans="1:23" ht="12.75">
      <c r="A39" s="3"/>
      <c r="C39" t="s">
        <v>645</v>
      </c>
      <c r="W39" s="161"/>
    </row>
    <row r="40" spans="1:23" ht="12.75">
      <c r="A40" s="3"/>
      <c r="D40" t="s">
        <v>646</v>
      </c>
      <c r="W40" s="161"/>
    </row>
    <row r="41" spans="1:23" ht="12.75">
      <c r="A41" s="3"/>
      <c r="D41" t="s">
        <v>647</v>
      </c>
      <c r="W41" s="161"/>
    </row>
    <row r="42" spans="1:23" ht="12.75">
      <c r="A42" s="3"/>
      <c r="D42" t="s">
        <v>648</v>
      </c>
      <c r="W42" s="161"/>
    </row>
    <row r="43" spans="1:23" ht="12.75">
      <c r="A43" s="3"/>
      <c r="D43" t="s">
        <v>649</v>
      </c>
      <c r="W43" s="161"/>
    </row>
    <row r="44" spans="4:23" ht="12.75">
      <c r="D44" t="s">
        <v>650</v>
      </c>
      <c r="W44" s="161"/>
    </row>
    <row r="45" spans="4:23" ht="12.75">
      <c r="D45" t="s">
        <v>651</v>
      </c>
      <c r="W45" s="161"/>
    </row>
    <row r="46" spans="4:23" ht="12.75">
      <c r="D46" t="s">
        <v>652</v>
      </c>
      <c r="W46" s="161"/>
    </row>
    <row r="47" ht="12.75">
      <c r="W47" s="161"/>
    </row>
    <row r="48" ht="12.75">
      <c r="W48" s="161"/>
    </row>
    <row r="49" ht="12.75">
      <c r="W49" s="161"/>
    </row>
    <row r="50" ht="12.75">
      <c r="W50" s="161"/>
    </row>
    <row r="51" ht="12.75">
      <c r="W51" s="161"/>
    </row>
    <row r="52" ht="12.75">
      <c r="W52" s="161"/>
    </row>
    <row r="53" ht="12.75">
      <c r="W53" s="161"/>
    </row>
    <row r="54" ht="12.75">
      <c r="W54" s="161"/>
    </row>
    <row r="55" ht="12.75">
      <c r="W55" s="161"/>
    </row>
    <row r="56" ht="12.75">
      <c r="W56" s="161"/>
    </row>
    <row r="57" ht="12.75">
      <c r="W57" s="161"/>
    </row>
    <row r="58" ht="12.75">
      <c r="W58" s="161"/>
    </row>
    <row r="59" ht="12.75">
      <c r="W59" s="161"/>
    </row>
    <row r="60" ht="12.75">
      <c r="W60" s="161"/>
    </row>
    <row r="61" ht="12.75">
      <c r="W61" s="161"/>
    </row>
    <row r="62" ht="12.75">
      <c r="W62" s="161"/>
    </row>
  </sheetData>
  <mergeCells count="28">
    <mergeCell ref="H6:H8"/>
    <mergeCell ref="I6:L7"/>
    <mergeCell ref="M6:P7"/>
    <mergeCell ref="Q6:Q8"/>
    <mergeCell ref="A6:A8"/>
    <mergeCell ref="B6:B8"/>
    <mergeCell ref="C6:C8"/>
    <mergeCell ref="D6:D8"/>
    <mergeCell ref="AE6:AE8"/>
    <mergeCell ref="R7:R8"/>
    <mergeCell ref="S7:S8"/>
    <mergeCell ref="U7:U8"/>
    <mergeCell ref="T7:T8"/>
    <mergeCell ref="R6:S6"/>
    <mergeCell ref="T6:U6"/>
    <mergeCell ref="V6:V8"/>
    <mergeCell ref="W6:W8"/>
    <mergeCell ref="AD6:AD8"/>
    <mergeCell ref="C1:C2"/>
    <mergeCell ref="E6:E8"/>
    <mergeCell ref="F6:F8"/>
    <mergeCell ref="G6:G8"/>
    <mergeCell ref="AB6:AB8"/>
    <mergeCell ref="AC6:AC8"/>
    <mergeCell ref="AA6:AA8"/>
    <mergeCell ref="X6:X8"/>
    <mergeCell ref="Y6:Y8"/>
    <mergeCell ref="Z6:Z8"/>
  </mergeCells>
  <printOptions horizontalCentered="1"/>
  <pageMargins left="0.22" right="0.16" top="1.4" bottom="1.3" header="0.2" footer="0.62"/>
  <pageSetup horizontalDpi="600" verticalDpi="600" orientation="landscape" pageOrder="overThenDown" r:id="rId1"/>
  <headerFooter alignWithMargins="0">
    <oddHeader>&amp;L
Kennecott Utah Copper Corporation
Site:  Smelter, Refinery
Site ID:  10346
&amp;CRegional Haze
2000 Statewide SOx Sources</oddHeader>
    <oddFooter>&amp;R&amp;D
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9.140625" defaultRowHeight="12.75"/>
  <cols>
    <col min="2" max="2" width="11.421875" style="0" customWidth="1"/>
    <col min="3" max="3" width="16.8515625" style="0" customWidth="1"/>
    <col min="4" max="4" width="9.28125" style="0" customWidth="1"/>
    <col min="5" max="5" width="22.57421875" style="0" customWidth="1"/>
    <col min="6" max="6" width="8.421875" style="0" hidden="1" customWidth="1"/>
    <col min="8" max="8" width="11.140625" style="0" customWidth="1"/>
    <col min="9" max="9" width="17.00390625" style="0" customWidth="1"/>
    <col min="10" max="10" width="11.28125" style="0" bestFit="1" customWidth="1"/>
    <col min="11" max="11" width="11.00390625" style="0" customWidth="1"/>
    <col min="13" max="13" width="9.7109375" style="0" customWidth="1"/>
    <col min="19" max="19" width="14.140625" style="0" customWidth="1"/>
    <col min="21" max="21" width="14.8515625" style="0" customWidth="1"/>
    <col min="23" max="23" width="11.140625" style="0" customWidth="1"/>
    <col min="24" max="24" width="11.28125" style="0" customWidth="1"/>
    <col min="25" max="25" width="13.8515625" style="0" customWidth="1"/>
    <col min="28" max="28" width="11.8515625" style="0" customWidth="1"/>
    <col min="29" max="29" width="10.7109375" style="0" hidden="1" customWidth="1"/>
    <col min="30" max="30" width="0" style="0" hidden="1" customWidth="1"/>
    <col min="31" max="31" width="3.421875" style="0" hidden="1" customWidth="1"/>
    <col min="32" max="32" width="14.421875" style="0" bestFit="1" customWidth="1"/>
  </cols>
  <sheetData>
    <row r="1" spans="1:6" ht="12.75" customHeight="1">
      <c r="A1" s="2" t="s">
        <v>229</v>
      </c>
      <c r="B1" s="232"/>
      <c r="C1" s="474" t="s">
        <v>572</v>
      </c>
      <c r="E1" s="4" t="s">
        <v>1</v>
      </c>
      <c r="F1" s="4"/>
    </row>
    <row r="2" spans="1:6" ht="12.75" customHeight="1">
      <c r="A2" s="219"/>
      <c r="B2" s="59"/>
      <c r="C2" s="474"/>
      <c r="E2" s="5" t="s">
        <v>95</v>
      </c>
      <c r="F2" s="5"/>
    </row>
    <row r="3" spans="1:3" ht="12.75">
      <c r="A3" s="220" t="s">
        <v>2</v>
      </c>
      <c r="B3" s="59" t="s">
        <v>3</v>
      </c>
      <c r="C3" t="s">
        <v>653</v>
      </c>
    </row>
    <row r="4" spans="1:3" ht="12.75">
      <c r="A4" s="219">
        <v>10571</v>
      </c>
      <c r="B4" s="59" t="s">
        <v>541</v>
      </c>
      <c r="C4" t="s">
        <v>654</v>
      </c>
    </row>
    <row r="5" spans="1:3" ht="12.75">
      <c r="A5" s="221"/>
      <c r="C5" t="s">
        <v>655</v>
      </c>
    </row>
    <row r="6" spans="1:32" ht="12.75" customHeight="1">
      <c r="A6" s="221"/>
      <c r="R6" s="233"/>
      <c r="S6" s="493" t="s">
        <v>16</v>
      </c>
      <c r="T6" s="414"/>
      <c r="U6" s="494" t="s">
        <v>17</v>
      </c>
      <c r="V6" s="414"/>
      <c r="W6" s="396" t="s">
        <v>18</v>
      </c>
      <c r="X6" s="396" t="s">
        <v>19</v>
      </c>
      <c r="Y6" s="396" t="s">
        <v>100</v>
      </c>
      <c r="Z6" s="396" t="s">
        <v>21</v>
      </c>
      <c r="AA6" s="396" t="s">
        <v>22</v>
      </c>
      <c r="AB6" s="478" t="s">
        <v>23</v>
      </c>
      <c r="AC6" s="377" t="s">
        <v>577</v>
      </c>
      <c r="AD6" s="377" t="s">
        <v>578</v>
      </c>
      <c r="AE6" s="377" t="s">
        <v>579</v>
      </c>
      <c r="AF6" s="502" t="s">
        <v>24</v>
      </c>
    </row>
    <row r="7" spans="1:32" ht="12.75" customHeight="1">
      <c r="A7" s="221"/>
      <c r="B7" s="500" t="s">
        <v>6</v>
      </c>
      <c r="C7" s="478" t="s">
        <v>7</v>
      </c>
      <c r="D7" s="478" t="s">
        <v>8</v>
      </c>
      <c r="E7" s="478" t="s">
        <v>9</v>
      </c>
      <c r="F7" s="377" t="s">
        <v>656</v>
      </c>
      <c r="G7" s="478" t="s">
        <v>10</v>
      </c>
      <c r="H7" s="478" t="s">
        <v>11</v>
      </c>
      <c r="I7" s="377" t="s">
        <v>12</v>
      </c>
      <c r="J7" s="496" t="s">
        <v>576</v>
      </c>
      <c r="K7" s="504"/>
      <c r="L7" s="504"/>
      <c r="M7" s="505"/>
      <c r="N7" s="496" t="s">
        <v>14</v>
      </c>
      <c r="O7" s="497"/>
      <c r="P7" s="497"/>
      <c r="Q7" s="498"/>
      <c r="R7" s="396" t="s">
        <v>15</v>
      </c>
      <c r="S7" s="396" t="s">
        <v>29</v>
      </c>
      <c r="T7" s="397" t="s">
        <v>30</v>
      </c>
      <c r="U7" s="478" t="s">
        <v>101</v>
      </c>
      <c r="V7" s="379" t="s">
        <v>30</v>
      </c>
      <c r="W7" s="385"/>
      <c r="X7" s="385"/>
      <c r="Y7" s="385"/>
      <c r="Z7" s="385"/>
      <c r="AA7" s="385"/>
      <c r="AB7" s="473"/>
      <c r="AC7" s="472"/>
      <c r="AD7" s="472"/>
      <c r="AE7" s="368"/>
      <c r="AF7" s="388"/>
    </row>
    <row r="8" spans="1:32" ht="38.25" customHeight="1">
      <c r="A8" s="221" t="s">
        <v>5</v>
      </c>
      <c r="B8" s="501"/>
      <c r="C8" s="492"/>
      <c r="D8" s="492"/>
      <c r="E8" s="492"/>
      <c r="F8" s="495"/>
      <c r="G8" s="503"/>
      <c r="H8" s="503"/>
      <c r="I8" s="495"/>
      <c r="J8" s="57" t="s">
        <v>32</v>
      </c>
      <c r="K8" s="57" t="s">
        <v>33</v>
      </c>
      <c r="L8" s="57" t="s">
        <v>34</v>
      </c>
      <c r="M8" s="57" t="s">
        <v>26</v>
      </c>
      <c r="N8" s="57" t="s">
        <v>25</v>
      </c>
      <c r="O8" s="57" t="s">
        <v>26</v>
      </c>
      <c r="P8" s="57" t="s">
        <v>27</v>
      </c>
      <c r="Q8" s="234" t="s">
        <v>28</v>
      </c>
      <c r="R8" s="385"/>
      <c r="S8" s="385"/>
      <c r="T8" s="499"/>
      <c r="U8" s="492"/>
      <c r="V8" s="382"/>
      <c r="W8" s="385"/>
      <c r="X8" s="385"/>
      <c r="Y8" s="385"/>
      <c r="Z8" s="385"/>
      <c r="AA8" s="385"/>
      <c r="AB8" s="506"/>
      <c r="AC8" s="507"/>
      <c r="AD8" s="507"/>
      <c r="AE8" s="495"/>
      <c r="AF8" s="388"/>
    </row>
    <row r="9" spans="1:32" ht="12.75" customHeight="1">
      <c r="A9" s="221" t="s">
        <v>580</v>
      </c>
      <c r="B9">
        <v>2023</v>
      </c>
      <c r="C9" t="s">
        <v>657</v>
      </c>
      <c r="D9">
        <v>30399999</v>
      </c>
      <c r="E9" t="s">
        <v>658</v>
      </c>
      <c r="G9" t="s">
        <v>583</v>
      </c>
      <c r="H9" t="s">
        <v>657</v>
      </c>
      <c r="I9" t="s">
        <v>659</v>
      </c>
      <c r="J9" s="236"/>
      <c r="S9" t="s">
        <v>151</v>
      </c>
      <c r="T9">
        <v>1</v>
      </c>
      <c r="U9" t="s">
        <v>103</v>
      </c>
      <c r="V9">
        <v>0</v>
      </c>
      <c r="W9">
        <v>99</v>
      </c>
      <c r="X9">
        <v>0.08</v>
      </c>
      <c r="Y9">
        <v>0</v>
      </c>
      <c r="Z9">
        <v>4</v>
      </c>
      <c r="AA9">
        <v>1.43</v>
      </c>
      <c r="AB9" t="s">
        <v>660</v>
      </c>
      <c r="AF9" t="s">
        <v>661</v>
      </c>
    </row>
    <row r="10" spans="1:32" ht="12.75">
      <c r="A10" s="221" t="s">
        <v>580</v>
      </c>
      <c r="B10">
        <v>3556</v>
      </c>
      <c r="C10" t="s">
        <v>662</v>
      </c>
      <c r="D10">
        <v>30390003</v>
      </c>
      <c r="E10" t="s">
        <v>663</v>
      </c>
      <c r="G10" t="s">
        <v>583</v>
      </c>
      <c r="H10" t="s">
        <v>662</v>
      </c>
      <c r="I10" t="s">
        <v>109</v>
      </c>
      <c r="J10" s="236">
        <v>41.11</v>
      </c>
      <c r="K10" t="s">
        <v>664</v>
      </c>
      <c r="L10">
        <v>4.1</v>
      </c>
      <c r="M10" t="s">
        <v>140</v>
      </c>
      <c r="S10" t="s">
        <v>103</v>
      </c>
      <c r="T10">
        <v>0</v>
      </c>
      <c r="U10" t="s">
        <v>103</v>
      </c>
      <c r="V10">
        <v>0</v>
      </c>
      <c r="W10">
        <v>0</v>
      </c>
      <c r="X10" s="237">
        <f>AA10*J10/2000</f>
        <v>0.012333</v>
      </c>
      <c r="Y10">
        <v>0</v>
      </c>
      <c r="Z10">
        <v>8</v>
      </c>
      <c r="AA10">
        <v>0.6</v>
      </c>
      <c r="AB10" t="s">
        <v>585</v>
      </c>
      <c r="AF10" t="s">
        <v>103</v>
      </c>
    </row>
    <row r="11" spans="1:32" ht="12.75">
      <c r="A11" s="221" t="s">
        <v>580</v>
      </c>
      <c r="B11">
        <v>3559</v>
      </c>
      <c r="C11" t="s">
        <v>665</v>
      </c>
      <c r="D11">
        <v>30390003</v>
      </c>
      <c r="E11" t="s">
        <v>666</v>
      </c>
      <c r="G11" t="s">
        <v>583</v>
      </c>
      <c r="H11" t="s">
        <v>665</v>
      </c>
      <c r="I11" t="s">
        <v>109</v>
      </c>
      <c r="J11" s="236">
        <v>24.1</v>
      </c>
      <c r="K11" t="s">
        <v>664</v>
      </c>
      <c r="L11">
        <v>6.3</v>
      </c>
      <c r="M11" t="s">
        <v>140</v>
      </c>
      <c r="S11" t="s">
        <v>103</v>
      </c>
      <c r="T11">
        <v>0</v>
      </c>
      <c r="U11" t="s">
        <v>103</v>
      </c>
      <c r="V11">
        <v>0</v>
      </c>
      <c r="W11">
        <v>0</v>
      </c>
      <c r="X11" s="237">
        <f>AA11*J11/2000</f>
        <v>0.00723</v>
      </c>
      <c r="Y11">
        <v>0</v>
      </c>
      <c r="Z11">
        <v>8</v>
      </c>
      <c r="AA11">
        <v>0.6</v>
      </c>
      <c r="AB11" t="s">
        <v>585</v>
      </c>
      <c r="AF11" t="s">
        <v>103</v>
      </c>
    </row>
    <row r="12" spans="1:32" ht="12.75">
      <c r="A12" s="221" t="s">
        <v>580</v>
      </c>
      <c r="B12">
        <v>3560</v>
      </c>
      <c r="C12" t="s">
        <v>667</v>
      </c>
      <c r="D12">
        <v>30399999</v>
      </c>
      <c r="E12" t="s">
        <v>668</v>
      </c>
      <c r="G12" t="s">
        <v>583</v>
      </c>
      <c r="H12" t="s">
        <v>667</v>
      </c>
      <c r="I12" t="s">
        <v>109</v>
      </c>
      <c r="J12" s="236">
        <v>21.11</v>
      </c>
      <c r="K12" t="s">
        <v>664</v>
      </c>
      <c r="L12">
        <v>4.09</v>
      </c>
      <c r="M12" t="s">
        <v>140</v>
      </c>
      <c r="S12" t="s">
        <v>103</v>
      </c>
      <c r="T12">
        <v>0</v>
      </c>
      <c r="U12" t="s">
        <v>103</v>
      </c>
      <c r="V12">
        <v>0</v>
      </c>
      <c r="W12">
        <v>0</v>
      </c>
      <c r="X12" s="237">
        <f>AA12*J12/2000</f>
        <v>0.006332999999999999</v>
      </c>
      <c r="Y12">
        <v>0</v>
      </c>
      <c r="Z12">
        <v>8</v>
      </c>
      <c r="AA12">
        <v>0.6</v>
      </c>
      <c r="AB12" t="s">
        <v>585</v>
      </c>
      <c r="AF12" t="s">
        <v>103</v>
      </c>
    </row>
    <row r="13" spans="1:32" ht="12.75">
      <c r="A13" s="221">
        <v>12</v>
      </c>
      <c r="B13">
        <v>987</v>
      </c>
      <c r="C13" t="s">
        <v>669</v>
      </c>
      <c r="D13">
        <v>30399999</v>
      </c>
      <c r="E13" t="s">
        <v>670</v>
      </c>
      <c r="F13">
        <v>135</v>
      </c>
      <c r="G13" t="s">
        <v>590</v>
      </c>
      <c r="H13" t="s">
        <v>103</v>
      </c>
      <c r="I13" t="s">
        <v>218</v>
      </c>
      <c r="J13" s="238">
        <v>20300000</v>
      </c>
      <c r="K13" t="s">
        <v>427</v>
      </c>
      <c r="S13" t="s">
        <v>103</v>
      </c>
      <c r="T13">
        <v>0</v>
      </c>
      <c r="U13" t="s">
        <v>103</v>
      </c>
      <c r="V13">
        <v>0</v>
      </c>
      <c r="W13">
        <v>0</v>
      </c>
      <c r="X13">
        <v>57.7</v>
      </c>
      <c r="Y13">
        <v>0</v>
      </c>
      <c r="Z13">
        <v>7</v>
      </c>
      <c r="AA13">
        <v>0.00403</v>
      </c>
      <c r="AB13" t="s">
        <v>671</v>
      </c>
      <c r="AF13" t="s">
        <v>103</v>
      </c>
    </row>
    <row r="14" spans="23:24" ht="12.75">
      <c r="W14" s="158" t="s">
        <v>631</v>
      </c>
      <c r="X14" s="239">
        <f>SUM(X9:X13)</f>
        <v>57.805896000000004</v>
      </c>
    </row>
    <row r="16" ht="12.75">
      <c r="A16" s="2" t="s">
        <v>125</v>
      </c>
    </row>
    <row r="18" spans="1:2" ht="12.75">
      <c r="A18" s="3" t="s">
        <v>632</v>
      </c>
      <c r="B18" s="107"/>
    </row>
    <row r="19" ht="12.75">
      <c r="A19" s="3" t="s">
        <v>634</v>
      </c>
    </row>
    <row r="20" ht="12.75">
      <c r="A20" s="3" t="s">
        <v>636</v>
      </c>
    </row>
    <row r="21" ht="12.75">
      <c r="A21" s="3" t="s">
        <v>633</v>
      </c>
    </row>
    <row r="23" ht="12.75">
      <c r="A23" s="3" t="s">
        <v>641</v>
      </c>
    </row>
    <row r="25" spans="1:5" ht="12.75" customHeight="1">
      <c r="A25" s="240" t="s">
        <v>672</v>
      </c>
      <c r="B25" s="241"/>
      <c r="C25" s="241"/>
      <c r="D25" s="241"/>
      <c r="E25" s="241"/>
    </row>
    <row r="26" ht="12.75">
      <c r="A26" t="s">
        <v>673</v>
      </c>
    </row>
  </sheetData>
  <mergeCells count="28">
    <mergeCell ref="W6:W8"/>
    <mergeCell ref="X6:X8"/>
    <mergeCell ref="Y6:Y8"/>
    <mergeCell ref="Z6:Z8"/>
    <mergeCell ref="AE6:AE8"/>
    <mergeCell ref="AF6:AF8"/>
    <mergeCell ref="G7:G8"/>
    <mergeCell ref="H7:H8"/>
    <mergeCell ref="I7:I8"/>
    <mergeCell ref="J7:M7"/>
    <mergeCell ref="AA6:AA8"/>
    <mergeCell ref="AB6:AB8"/>
    <mergeCell ref="AC6:AC8"/>
    <mergeCell ref="AD6:AD8"/>
    <mergeCell ref="B7:B8"/>
    <mergeCell ref="C7:C8"/>
    <mergeCell ref="D7:D8"/>
    <mergeCell ref="E7:E8"/>
    <mergeCell ref="U7:U8"/>
    <mergeCell ref="V7:V8"/>
    <mergeCell ref="C1:C2"/>
    <mergeCell ref="S6:T6"/>
    <mergeCell ref="U6:V6"/>
    <mergeCell ref="F7:F8"/>
    <mergeCell ref="N7:Q7"/>
    <mergeCell ref="R7:R8"/>
    <mergeCell ref="S7:S8"/>
    <mergeCell ref="T7:T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36"/>
  <sheetViews>
    <sheetView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12.00390625" style="0" customWidth="1"/>
    <col min="3" max="3" width="12.8515625" style="0" customWidth="1"/>
    <col min="5" max="5" width="16.7109375" style="0" customWidth="1"/>
    <col min="7" max="7" width="11.28125" style="0" customWidth="1"/>
    <col min="8" max="8" width="13.7109375" style="0" customWidth="1"/>
    <col min="9" max="9" width="11.28125" style="0" customWidth="1"/>
    <col min="18" max="18" width="14.57421875" style="0" customWidth="1"/>
    <col min="20" max="20" width="14.7109375" style="0" customWidth="1"/>
    <col min="22" max="22" width="10.57421875" style="0" customWidth="1"/>
    <col min="23" max="23" width="11.57421875" style="0" customWidth="1"/>
    <col min="24" max="24" width="10.00390625" style="0" customWidth="1"/>
    <col min="27" max="27" width="13.8515625" style="0" customWidth="1"/>
    <col min="28" max="28" width="9.8515625" style="0" hidden="1" customWidth="1"/>
    <col min="29" max="29" width="7.8515625" style="0" hidden="1" customWidth="1"/>
    <col min="30" max="30" width="6.28125" style="0" hidden="1" customWidth="1"/>
    <col min="31" max="31" width="18.28125" style="0" customWidth="1"/>
  </cols>
  <sheetData>
    <row r="1" spans="1:6" ht="15.75">
      <c r="A1" s="2" t="s">
        <v>229</v>
      </c>
      <c r="B1" s="232"/>
      <c r="C1" s="474" t="s">
        <v>572</v>
      </c>
      <c r="D1" s="474"/>
      <c r="F1" s="4" t="s">
        <v>1</v>
      </c>
    </row>
    <row r="2" spans="1:6" ht="15">
      <c r="A2" s="219"/>
      <c r="B2" s="59"/>
      <c r="C2" s="474"/>
      <c r="D2" s="474"/>
      <c r="F2" s="5" t="s">
        <v>95</v>
      </c>
    </row>
    <row r="3" spans="1:4" ht="27" customHeight="1">
      <c r="A3" s="220" t="s">
        <v>2</v>
      </c>
      <c r="B3" s="59" t="s">
        <v>3</v>
      </c>
      <c r="C3" s="474" t="s">
        <v>674</v>
      </c>
      <c r="D3" s="474"/>
    </row>
    <row r="4" spans="1:3" ht="12.75">
      <c r="A4" s="219">
        <v>10572</v>
      </c>
      <c r="B4" s="59" t="s">
        <v>541</v>
      </c>
      <c r="C4" t="s">
        <v>675</v>
      </c>
    </row>
    <row r="5" spans="1:3" ht="13.5" thickBot="1">
      <c r="A5" s="221"/>
      <c r="C5" t="s">
        <v>575</v>
      </c>
    </row>
    <row r="6" spans="1:31" ht="12.75">
      <c r="A6" s="482" t="s">
        <v>5</v>
      </c>
      <c r="B6" s="390" t="s">
        <v>6</v>
      </c>
      <c r="C6" s="390" t="s">
        <v>7</v>
      </c>
      <c r="D6" s="390" t="s">
        <v>8</v>
      </c>
      <c r="E6" s="390" t="s">
        <v>9</v>
      </c>
      <c r="F6" s="390" t="s">
        <v>10</v>
      </c>
      <c r="G6" s="390" t="s">
        <v>11</v>
      </c>
      <c r="H6" s="380" t="s">
        <v>12</v>
      </c>
      <c r="I6" s="485" t="s">
        <v>576</v>
      </c>
      <c r="J6" s="486"/>
      <c r="K6" s="486"/>
      <c r="L6" s="487"/>
      <c r="M6" s="491" t="s">
        <v>14</v>
      </c>
      <c r="N6" s="486"/>
      <c r="O6" s="486"/>
      <c r="P6" s="486"/>
      <c r="Q6" s="390" t="s">
        <v>15</v>
      </c>
      <c r="R6" s="480" t="s">
        <v>16</v>
      </c>
      <c r="S6" s="417"/>
      <c r="T6" s="481" t="s">
        <v>17</v>
      </c>
      <c r="U6" s="417"/>
      <c r="V6" s="384" t="s">
        <v>18</v>
      </c>
      <c r="W6" s="384" t="s">
        <v>19</v>
      </c>
      <c r="X6" s="384" t="s">
        <v>100</v>
      </c>
      <c r="Y6" s="384" t="s">
        <v>21</v>
      </c>
      <c r="Z6" s="384" t="s">
        <v>22</v>
      </c>
      <c r="AA6" s="390" t="s">
        <v>23</v>
      </c>
      <c r="AB6" s="367" t="s">
        <v>577</v>
      </c>
      <c r="AC6" s="367" t="s">
        <v>578</v>
      </c>
      <c r="AD6" s="367" t="s">
        <v>579</v>
      </c>
      <c r="AE6" s="387" t="s">
        <v>24</v>
      </c>
    </row>
    <row r="7" spans="1:31" ht="12.75" customHeight="1">
      <c r="A7" s="483"/>
      <c r="B7" s="475"/>
      <c r="C7" s="475"/>
      <c r="D7" s="475"/>
      <c r="E7" s="475"/>
      <c r="F7" s="475"/>
      <c r="G7" s="475"/>
      <c r="H7" s="484"/>
      <c r="I7" s="488"/>
      <c r="J7" s="489"/>
      <c r="K7" s="489"/>
      <c r="L7" s="490"/>
      <c r="M7" s="489"/>
      <c r="N7" s="489"/>
      <c r="O7" s="489"/>
      <c r="P7" s="489"/>
      <c r="Q7" s="479"/>
      <c r="R7" s="379" t="s">
        <v>29</v>
      </c>
      <c r="S7" s="397" t="s">
        <v>30</v>
      </c>
      <c r="T7" s="478" t="s">
        <v>101</v>
      </c>
      <c r="U7" s="379" t="s">
        <v>30</v>
      </c>
      <c r="V7" s="385"/>
      <c r="W7" s="385"/>
      <c r="X7" s="385"/>
      <c r="Y7" s="385"/>
      <c r="Z7" s="385"/>
      <c r="AA7" s="473"/>
      <c r="AB7" s="472"/>
      <c r="AC7" s="472"/>
      <c r="AD7" s="368"/>
      <c r="AE7" s="388"/>
    </row>
    <row r="8" spans="1:31" ht="56.25" customHeight="1" thickBot="1">
      <c r="A8" s="512"/>
      <c r="B8" s="511"/>
      <c r="C8" s="511"/>
      <c r="D8" s="511"/>
      <c r="E8" s="511"/>
      <c r="F8" s="511"/>
      <c r="G8" s="511"/>
      <c r="H8" s="513"/>
      <c r="I8" s="11" t="s">
        <v>32</v>
      </c>
      <c r="J8" s="11" t="s">
        <v>33</v>
      </c>
      <c r="K8" s="11" t="s">
        <v>34</v>
      </c>
      <c r="L8" s="11" t="s">
        <v>26</v>
      </c>
      <c r="M8" s="11" t="s">
        <v>25</v>
      </c>
      <c r="N8" s="11" t="s">
        <v>26</v>
      </c>
      <c r="O8" s="11" t="s">
        <v>27</v>
      </c>
      <c r="P8" s="242" t="s">
        <v>28</v>
      </c>
      <c r="Q8" s="508"/>
      <c r="R8" s="383"/>
      <c r="S8" s="398"/>
      <c r="T8" s="508"/>
      <c r="U8" s="383"/>
      <c r="V8" s="386"/>
      <c r="W8" s="386"/>
      <c r="X8" s="386"/>
      <c r="Y8" s="386"/>
      <c r="Z8" s="386"/>
      <c r="AA8" s="509"/>
      <c r="AB8" s="510"/>
      <c r="AC8" s="510"/>
      <c r="AD8" s="378"/>
      <c r="AE8" s="389"/>
    </row>
    <row r="9" spans="1:31" ht="12.75">
      <c r="A9" s="243" t="s">
        <v>580</v>
      </c>
      <c r="B9" s="235">
        <v>4038</v>
      </c>
      <c r="C9" s="235" t="s">
        <v>676</v>
      </c>
      <c r="D9" s="235">
        <v>10200201</v>
      </c>
      <c r="E9" s="235" t="s">
        <v>677</v>
      </c>
      <c r="F9" s="235" t="s">
        <v>583</v>
      </c>
      <c r="G9" s="235" t="s">
        <v>676</v>
      </c>
      <c r="H9" s="235" t="s">
        <v>678</v>
      </c>
      <c r="I9" s="244">
        <v>49191</v>
      </c>
      <c r="J9" s="235" t="s">
        <v>564</v>
      </c>
      <c r="K9" s="235">
        <v>430</v>
      </c>
      <c r="L9" s="235"/>
      <c r="M9" s="235">
        <v>11390</v>
      </c>
      <c r="N9" s="235" t="s">
        <v>566</v>
      </c>
      <c r="O9" s="235">
        <v>0.36</v>
      </c>
      <c r="P9" s="235"/>
      <c r="Q9" s="235"/>
      <c r="R9" s="235" t="s">
        <v>679</v>
      </c>
      <c r="S9" s="235">
        <v>99</v>
      </c>
      <c r="T9" s="235" t="s">
        <v>103</v>
      </c>
      <c r="U9" s="235">
        <v>0</v>
      </c>
      <c r="V9" s="235">
        <v>99</v>
      </c>
      <c r="W9" s="245">
        <v>353.7</v>
      </c>
      <c r="X9" s="235">
        <v>0</v>
      </c>
      <c r="Y9" s="235">
        <v>3</v>
      </c>
      <c r="Z9" s="235">
        <v>0.36</v>
      </c>
      <c r="AA9" s="235" t="s">
        <v>680</v>
      </c>
      <c r="AB9" s="235"/>
      <c r="AC9" s="235"/>
      <c r="AD9" s="235"/>
      <c r="AE9" s="246"/>
    </row>
    <row r="10" spans="1:31" ht="12.75">
      <c r="A10" s="225" t="s">
        <v>580</v>
      </c>
      <c r="B10" s="116">
        <v>4040</v>
      </c>
      <c r="C10" s="116" t="s">
        <v>681</v>
      </c>
      <c r="D10" s="116">
        <v>10200201</v>
      </c>
      <c r="E10" s="116" t="s">
        <v>682</v>
      </c>
      <c r="F10" s="116" t="s">
        <v>583</v>
      </c>
      <c r="G10" s="116" t="s">
        <v>681</v>
      </c>
      <c r="H10" s="116" t="s">
        <v>678</v>
      </c>
      <c r="I10" s="247">
        <v>77223</v>
      </c>
      <c r="J10" s="116" t="s">
        <v>564</v>
      </c>
      <c r="K10" s="116">
        <v>430</v>
      </c>
      <c r="L10" s="116"/>
      <c r="M10" s="116">
        <v>11390</v>
      </c>
      <c r="N10" s="116" t="s">
        <v>566</v>
      </c>
      <c r="O10" s="116">
        <v>0.36</v>
      </c>
      <c r="P10" s="116"/>
      <c r="Q10" s="116"/>
      <c r="R10" s="116" t="s">
        <v>679</v>
      </c>
      <c r="S10" s="116">
        <v>99</v>
      </c>
      <c r="T10" s="116" t="s">
        <v>103</v>
      </c>
      <c r="U10" s="116">
        <v>0</v>
      </c>
      <c r="V10" s="116">
        <v>99</v>
      </c>
      <c r="W10" s="248">
        <v>537.93</v>
      </c>
      <c r="X10" s="116">
        <v>0</v>
      </c>
      <c r="Y10" s="116">
        <v>3</v>
      </c>
      <c r="Z10" s="116">
        <v>0.36</v>
      </c>
      <c r="AA10" s="116" t="s">
        <v>680</v>
      </c>
      <c r="AB10" s="116"/>
      <c r="AC10" s="116"/>
      <c r="AD10" s="116"/>
      <c r="AE10" s="118"/>
    </row>
    <row r="11" spans="1:31" ht="12.75">
      <c r="A11" s="225" t="s">
        <v>580</v>
      </c>
      <c r="B11" s="116">
        <v>4041</v>
      </c>
      <c r="C11" s="116" t="s">
        <v>683</v>
      </c>
      <c r="D11" s="116">
        <v>10200201</v>
      </c>
      <c r="E11" s="116" t="s">
        <v>684</v>
      </c>
      <c r="F11" s="116" t="s">
        <v>583</v>
      </c>
      <c r="G11" s="116" t="s">
        <v>683</v>
      </c>
      <c r="H11" s="116" t="s">
        <v>678</v>
      </c>
      <c r="I11" s="247">
        <v>56278</v>
      </c>
      <c r="J11" s="116" t="s">
        <v>564</v>
      </c>
      <c r="K11" s="116">
        <v>430</v>
      </c>
      <c r="L11" s="116"/>
      <c r="M11" s="116">
        <v>11390</v>
      </c>
      <c r="N11" s="116" t="s">
        <v>566</v>
      </c>
      <c r="O11" s="116">
        <v>0.36</v>
      </c>
      <c r="P11" s="116"/>
      <c r="Q11" s="116"/>
      <c r="R11" s="116" t="s">
        <v>679</v>
      </c>
      <c r="S11" s="116">
        <v>99</v>
      </c>
      <c r="T11" s="116" t="s">
        <v>103</v>
      </c>
      <c r="U11" s="116">
        <v>0</v>
      </c>
      <c r="V11" s="116">
        <v>99</v>
      </c>
      <c r="W11" s="248">
        <v>393.92</v>
      </c>
      <c r="X11" s="116">
        <v>0</v>
      </c>
      <c r="Y11" s="116">
        <v>3</v>
      </c>
      <c r="Z11" s="116">
        <v>0.36</v>
      </c>
      <c r="AA11" s="116" t="s">
        <v>680</v>
      </c>
      <c r="AB11" s="116"/>
      <c r="AC11" s="116"/>
      <c r="AD11" s="116"/>
      <c r="AE11" s="118"/>
    </row>
    <row r="12" spans="1:31" ht="12.75">
      <c r="A12" s="225" t="s">
        <v>580</v>
      </c>
      <c r="B12" s="116">
        <v>4042</v>
      </c>
      <c r="C12" s="116" t="s">
        <v>685</v>
      </c>
      <c r="D12" s="116">
        <v>10200201</v>
      </c>
      <c r="E12" s="116" t="s">
        <v>686</v>
      </c>
      <c r="F12" s="116" t="s">
        <v>583</v>
      </c>
      <c r="G12" s="116" t="s">
        <v>685</v>
      </c>
      <c r="H12" s="116" t="s">
        <v>678</v>
      </c>
      <c r="I12" s="247">
        <v>179758</v>
      </c>
      <c r="J12" s="116" t="s">
        <v>564</v>
      </c>
      <c r="K12" s="116">
        <v>838</v>
      </c>
      <c r="L12" s="116"/>
      <c r="M12" s="116">
        <v>11390</v>
      </c>
      <c r="N12" s="116" t="s">
        <v>566</v>
      </c>
      <c r="O12" s="116">
        <v>0.36</v>
      </c>
      <c r="P12" s="116"/>
      <c r="Q12" s="116"/>
      <c r="R12" s="116" t="s">
        <v>679</v>
      </c>
      <c r="S12" s="116">
        <v>99</v>
      </c>
      <c r="T12" s="116" t="s">
        <v>103</v>
      </c>
      <c r="U12" s="116">
        <v>0</v>
      </c>
      <c r="V12" s="116">
        <v>99</v>
      </c>
      <c r="W12" s="248">
        <v>1248.16</v>
      </c>
      <c r="X12" s="116">
        <v>0</v>
      </c>
      <c r="Y12" s="116">
        <v>3</v>
      </c>
      <c r="Z12" s="116">
        <v>0.36</v>
      </c>
      <c r="AA12" s="116" t="s">
        <v>680</v>
      </c>
      <c r="AB12" s="116"/>
      <c r="AC12" s="116"/>
      <c r="AD12" s="116"/>
      <c r="AE12" s="118"/>
    </row>
    <row r="13" spans="1:31" ht="12.75">
      <c r="A13" s="225" t="s">
        <v>580</v>
      </c>
      <c r="B13" s="116">
        <v>4039</v>
      </c>
      <c r="C13" s="116" t="s">
        <v>687</v>
      </c>
      <c r="D13" s="116">
        <v>10200601</v>
      </c>
      <c r="E13" s="116" t="s">
        <v>677</v>
      </c>
      <c r="F13" s="116" t="s">
        <v>590</v>
      </c>
      <c r="G13" s="116" t="s">
        <v>687</v>
      </c>
      <c r="H13" s="116" t="s">
        <v>109</v>
      </c>
      <c r="I13" s="247">
        <v>18.181</v>
      </c>
      <c r="J13" s="116" t="s">
        <v>688</v>
      </c>
      <c r="K13" s="116">
        <v>450</v>
      </c>
      <c r="L13" s="116"/>
      <c r="M13" s="116">
        <v>1041</v>
      </c>
      <c r="N13" s="116" t="s">
        <v>60</v>
      </c>
      <c r="O13" s="116"/>
      <c r="P13" s="116"/>
      <c r="Q13" s="116"/>
      <c r="R13" s="116" t="s">
        <v>103</v>
      </c>
      <c r="S13" s="116">
        <v>0</v>
      </c>
      <c r="T13" s="116" t="s">
        <v>103</v>
      </c>
      <c r="U13" s="116">
        <v>0</v>
      </c>
      <c r="V13" s="116">
        <v>0</v>
      </c>
      <c r="W13" s="248">
        <f>Z13*I13/2000</f>
        <v>0.0054543</v>
      </c>
      <c r="X13" s="116">
        <v>0</v>
      </c>
      <c r="Y13" s="116">
        <v>8</v>
      </c>
      <c r="Z13" s="116">
        <v>0.6</v>
      </c>
      <c r="AA13" s="116" t="s">
        <v>585</v>
      </c>
      <c r="AB13" s="116"/>
      <c r="AC13" s="116"/>
      <c r="AD13" s="116"/>
      <c r="AE13" s="118"/>
    </row>
    <row r="14" spans="1:31" ht="12.75">
      <c r="A14" s="225" t="s">
        <v>580</v>
      </c>
      <c r="B14" s="116">
        <v>4043</v>
      </c>
      <c r="C14" s="116" t="s">
        <v>689</v>
      </c>
      <c r="D14" s="116">
        <v>10200601</v>
      </c>
      <c r="E14" s="116" t="s">
        <v>682</v>
      </c>
      <c r="F14" s="116" t="s">
        <v>590</v>
      </c>
      <c r="G14" s="116" t="s">
        <v>689</v>
      </c>
      <c r="H14" s="116" t="s">
        <v>109</v>
      </c>
      <c r="I14" s="247">
        <v>20.815</v>
      </c>
      <c r="J14" s="116" t="s">
        <v>688</v>
      </c>
      <c r="K14" s="116">
        <v>450</v>
      </c>
      <c r="L14" s="116"/>
      <c r="M14" s="116">
        <v>1041</v>
      </c>
      <c r="N14" s="116" t="s">
        <v>60</v>
      </c>
      <c r="O14" s="116"/>
      <c r="P14" s="116"/>
      <c r="Q14" s="116"/>
      <c r="R14" s="116" t="s">
        <v>103</v>
      </c>
      <c r="S14" s="116">
        <v>0</v>
      </c>
      <c r="T14" s="116" t="s">
        <v>103</v>
      </c>
      <c r="U14" s="116">
        <v>0</v>
      </c>
      <c r="V14" s="116">
        <v>0</v>
      </c>
      <c r="W14" s="248">
        <f>Z14*I14/2000</f>
        <v>0.0062445</v>
      </c>
      <c r="X14" s="116"/>
      <c r="Y14" s="116">
        <v>8</v>
      </c>
      <c r="Z14" s="116">
        <v>0.6</v>
      </c>
      <c r="AA14" s="116" t="s">
        <v>585</v>
      </c>
      <c r="AB14" s="116"/>
      <c r="AC14" s="116"/>
      <c r="AD14" s="116"/>
      <c r="AE14" s="118"/>
    </row>
    <row r="15" spans="1:31" ht="12.75">
      <c r="A15" s="225" t="s">
        <v>580</v>
      </c>
      <c r="B15" s="116">
        <v>4044</v>
      </c>
      <c r="C15" s="116" t="s">
        <v>690</v>
      </c>
      <c r="D15" s="116">
        <v>10200601</v>
      </c>
      <c r="E15" s="116" t="s">
        <v>684</v>
      </c>
      <c r="F15" s="116" t="s">
        <v>590</v>
      </c>
      <c r="G15" s="116" t="s">
        <v>690</v>
      </c>
      <c r="H15" s="116" t="s">
        <v>109</v>
      </c>
      <c r="I15" s="247">
        <v>12.58</v>
      </c>
      <c r="J15" s="116" t="s">
        <v>688</v>
      </c>
      <c r="K15" s="116">
        <v>450</v>
      </c>
      <c r="L15" s="116"/>
      <c r="M15" s="116">
        <v>1041</v>
      </c>
      <c r="N15" s="116" t="s">
        <v>60</v>
      </c>
      <c r="O15" s="116"/>
      <c r="P15" s="116"/>
      <c r="Q15" s="116"/>
      <c r="R15" s="116" t="s">
        <v>103</v>
      </c>
      <c r="S15" s="116">
        <v>0</v>
      </c>
      <c r="T15" s="116" t="s">
        <v>103</v>
      </c>
      <c r="U15" s="116">
        <v>0</v>
      </c>
      <c r="V15" s="116">
        <v>0</v>
      </c>
      <c r="W15" s="248">
        <f>Z15*I15/2000</f>
        <v>0.003774</v>
      </c>
      <c r="X15" s="116"/>
      <c r="Y15" s="116">
        <v>8</v>
      </c>
      <c r="Z15" s="116">
        <v>0.6</v>
      </c>
      <c r="AA15" s="116" t="s">
        <v>585</v>
      </c>
      <c r="AB15" s="116"/>
      <c r="AC15" s="116"/>
      <c r="AD15" s="116"/>
      <c r="AE15" s="118"/>
    </row>
    <row r="16" spans="1:31" ht="13.5" thickBot="1">
      <c r="A16" s="229" t="s">
        <v>580</v>
      </c>
      <c r="B16" s="119">
        <v>4045</v>
      </c>
      <c r="C16" s="119" t="s">
        <v>691</v>
      </c>
      <c r="D16" s="119">
        <v>10100202</v>
      </c>
      <c r="E16" s="119" t="s">
        <v>686</v>
      </c>
      <c r="F16" s="119" t="s">
        <v>590</v>
      </c>
      <c r="G16" s="119" t="s">
        <v>691</v>
      </c>
      <c r="H16" s="119" t="s">
        <v>109</v>
      </c>
      <c r="I16" s="249">
        <v>234.522</v>
      </c>
      <c r="J16" s="119" t="s">
        <v>688</v>
      </c>
      <c r="K16" s="119">
        <v>872</v>
      </c>
      <c r="L16" s="119"/>
      <c r="M16" s="119">
        <v>1041</v>
      </c>
      <c r="N16" s="119" t="s">
        <v>60</v>
      </c>
      <c r="O16" s="119"/>
      <c r="P16" s="119"/>
      <c r="Q16" s="119"/>
      <c r="R16" s="119" t="s">
        <v>103</v>
      </c>
      <c r="S16" s="119">
        <v>0</v>
      </c>
      <c r="T16" s="119" t="s">
        <v>103</v>
      </c>
      <c r="U16" s="119">
        <v>0</v>
      </c>
      <c r="V16" s="119">
        <v>0</v>
      </c>
      <c r="W16" s="250">
        <f>Z16*I16/2000</f>
        <v>0.0703566</v>
      </c>
      <c r="X16" s="119"/>
      <c r="Y16" s="119">
        <v>8</v>
      </c>
      <c r="Z16" s="119">
        <v>0.6</v>
      </c>
      <c r="AA16" s="119" t="s">
        <v>585</v>
      </c>
      <c r="AB16" s="119"/>
      <c r="AC16" s="119"/>
      <c r="AD16" s="119"/>
      <c r="AE16" s="122"/>
    </row>
    <row r="17" spans="1:23" ht="13.5" thickBot="1">
      <c r="A17" s="221"/>
      <c r="V17" s="94" t="s">
        <v>631</v>
      </c>
      <c r="W17" s="251">
        <f>SUM(W9:W16)</f>
        <v>2533.7958294</v>
      </c>
    </row>
    <row r="18" ht="13.5" thickTop="1">
      <c r="A18" s="221"/>
    </row>
    <row r="19" spans="3:23" ht="12.75">
      <c r="C19" s="2" t="s">
        <v>125</v>
      </c>
      <c r="W19" s="252"/>
    </row>
    <row r="20" ht="12.75">
      <c r="W20" s="252"/>
    </row>
    <row r="21" spans="3:23" ht="12.75">
      <c r="C21" s="3" t="s">
        <v>632</v>
      </c>
      <c r="W21" s="161"/>
    </row>
    <row r="22" ht="12.75">
      <c r="C22" s="3" t="s">
        <v>634</v>
      </c>
    </row>
    <row r="23" ht="12.75">
      <c r="C23" s="3" t="s">
        <v>636</v>
      </c>
    </row>
    <row r="24" ht="12.75">
      <c r="C24" s="3" t="s">
        <v>633</v>
      </c>
    </row>
    <row r="25" ht="12.75">
      <c r="C25" s="3"/>
    </row>
    <row r="26" ht="12.75">
      <c r="C26" t="s">
        <v>692</v>
      </c>
    </row>
    <row r="27" ht="12.75">
      <c r="C27" s="3" t="s">
        <v>641</v>
      </c>
    </row>
    <row r="29" ht="12.75">
      <c r="C29" t="s">
        <v>693</v>
      </c>
    </row>
    <row r="30" ht="12.75">
      <c r="C30" t="s">
        <v>694</v>
      </c>
    </row>
    <row r="32" ht="12.75">
      <c r="C32" t="s">
        <v>695</v>
      </c>
    </row>
    <row r="34" ht="12.75">
      <c r="C34" t="s">
        <v>289</v>
      </c>
    </row>
    <row r="35" ht="12.75">
      <c r="C35" t="s">
        <v>696</v>
      </c>
    </row>
    <row r="36" ht="12.75">
      <c r="C36" t="s">
        <v>697</v>
      </c>
    </row>
  </sheetData>
  <mergeCells count="29">
    <mergeCell ref="H6:H8"/>
    <mergeCell ref="I6:L7"/>
    <mergeCell ref="M6:P7"/>
    <mergeCell ref="Q6:Q8"/>
    <mergeCell ref="F6:F8"/>
    <mergeCell ref="E6:E8"/>
    <mergeCell ref="G6:G8"/>
    <mergeCell ref="A6:A8"/>
    <mergeCell ref="B6:B8"/>
    <mergeCell ref="C6:C8"/>
    <mergeCell ref="D6:D8"/>
    <mergeCell ref="Y6:Y8"/>
    <mergeCell ref="Z6:Z8"/>
    <mergeCell ref="R6:S6"/>
    <mergeCell ref="T6:U6"/>
    <mergeCell ref="V6:V8"/>
    <mergeCell ref="R7:R8"/>
    <mergeCell ref="S7:S8"/>
    <mergeCell ref="U7:U8"/>
    <mergeCell ref="C1:D2"/>
    <mergeCell ref="C3:D3"/>
    <mergeCell ref="T7:T8"/>
    <mergeCell ref="AE6:AE8"/>
    <mergeCell ref="AA6:AA8"/>
    <mergeCell ref="AB6:AB8"/>
    <mergeCell ref="AC6:AC8"/>
    <mergeCell ref="AD6:AD8"/>
    <mergeCell ref="W6:W8"/>
    <mergeCell ref="X6:X8"/>
  </mergeCells>
  <printOptions horizontalCentered="1"/>
  <pageMargins left="0.25" right="0.27" top="1.45" bottom="0.67" header="0.5" footer="0.22"/>
  <pageSetup horizontalDpi="600" verticalDpi="600" orientation="landscape" r:id="rId1"/>
  <headerFooter alignWithMargins="0">
    <oddHeader>&amp;L
Kennecott Utah Copper
Site:  Plt, Lab, Tailings
Site ID:  10572&amp;CRegional Haze
2000 Statewide SOx Sources</oddHeader>
    <oddFooter>&amp;R&amp;D
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B15"/>
  <sheetViews>
    <sheetView workbookViewId="0" topLeftCell="A1">
      <selection activeCell="D26" sqref="D26"/>
    </sheetView>
  </sheetViews>
  <sheetFormatPr defaultColWidth="9.140625" defaultRowHeight="12.75"/>
  <cols>
    <col min="3" max="3" width="12.7109375" style="0" customWidth="1"/>
    <col min="4" max="4" width="13.8515625" style="0" customWidth="1"/>
    <col min="5" max="5" width="21.00390625" style="0" bestFit="1" customWidth="1"/>
    <col min="7" max="7" width="11.140625" style="0" customWidth="1"/>
    <col min="8" max="8" width="12.421875" style="0" customWidth="1"/>
    <col min="18" max="18" width="17.00390625" style="0" customWidth="1"/>
    <col min="20" max="20" width="19.8515625" style="0" customWidth="1"/>
    <col min="22" max="22" width="10.57421875" style="0" customWidth="1"/>
    <col min="23" max="24" width="11.7109375" style="0" customWidth="1"/>
    <col min="27" max="27" width="14.57421875" style="0" customWidth="1"/>
    <col min="28" max="28" width="29.140625" style="0" customWidth="1"/>
  </cols>
  <sheetData>
    <row r="1" spans="1:5" ht="15.75">
      <c r="A1" s="96" t="s">
        <v>698</v>
      </c>
      <c r="B1" s="59"/>
      <c r="E1" s="4" t="s">
        <v>1</v>
      </c>
    </row>
    <row r="2" spans="1:5" ht="15">
      <c r="A2" s="59"/>
      <c r="B2" s="59"/>
      <c r="E2" s="5" t="s">
        <v>95</v>
      </c>
    </row>
    <row r="3" spans="1:2" ht="12.75">
      <c r="A3" s="96" t="s">
        <v>2</v>
      </c>
      <c r="B3" s="96" t="s">
        <v>699</v>
      </c>
    </row>
    <row r="4" spans="1:2" ht="12.75">
      <c r="A4" s="61">
        <v>10347</v>
      </c>
      <c r="B4" s="96" t="s">
        <v>700</v>
      </c>
    </row>
    <row r="5" ht="12.75">
      <c r="B5" t="s">
        <v>701</v>
      </c>
    </row>
    <row r="6" spans="17:28" ht="16.5" customHeight="1">
      <c r="Q6" s="233"/>
      <c r="R6" s="493" t="s">
        <v>16</v>
      </c>
      <c r="S6" s="414"/>
      <c r="T6" s="494" t="s">
        <v>17</v>
      </c>
      <c r="U6" s="414"/>
      <c r="V6" s="396" t="s">
        <v>18</v>
      </c>
      <c r="W6" s="396" t="s">
        <v>19</v>
      </c>
      <c r="X6" s="396" t="s">
        <v>100</v>
      </c>
      <c r="Y6" s="396" t="s">
        <v>21</v>
      </c>
      <c r="Z6" s="396" t="s">
        <v>22</v>
      </c>
      <c r="AA6" s="396" t="s">
        <v>23</v>
      </c>
      <c r="AB6" s="502" t="s">
        <v>24</v>
      </c>
    </row>
    <row r="7" spans="2:28" s="9" customFormat="1" ht="24.75" customHeight="1">
      <c r="B7" s="500" t="s">
        <v>6</v>
      </c>
      <c r="C7" s="478" t="s">
        <v>7</v>
      </c>
      <c r="D7" s="478" t="s">
        <v>8</v>
      </c>
      <c r="E7" s="478" t="s">
        <v>9</v>
      </c>
      <c r="F7" s="478" t="s">
        <v>10</v>
      </c>
      <c r="G7" s="478" t="s">
        <v>11</v>
      </c>
      <c r="H7" s="478" t="s">
        <v>12</v>
      </c>
      <c r="I7" s="496" t="s">
        <v>576</v>
      </c>
      <c r="J7" s="504"/>
      <c r="K7" s="504"/>
      <c r="L7" s="505"/>
      <c r="M7" s="496" t="s">
        <v>14</v>
      </c>
      <c r="N7" s="497"/>
      <c r="O7" s="497"/>
      <c r="P7" s="498"/>
      <c r="Q7" s="396" t="s">
        <v>15</v>
      </c>
      <c r="R7" s="396" t="s">
        <v>29</v>
      </c>
      <c r="S7" s="397" t="s">
        <v>30</v>
      </c>
      <c r="T7" s="478" t="s">
        <v>101</v>
      </c>
      <c r="U7" s="379" t="s">
        <v>30</v>
      </c>
      <c r="V7" s="385"/>
      <c r="W7" s="385"/>
      <c r="X7" s="385"/>
      <c r="Y7" s="385"/>
      <c r="Z7" s="385"/>
      <c r="AA7" s="414"/>
      <c r="AB7" s="388"/>
    </row>
    <row r="8" spans="1:28" ht="25.5" customHeight="1">
      <c r="A8" s="9" t="s">
        <v>5</v>
      </c>
      <c r="B8" s="501"/>
      <c r="C8" s="492"/>
      <c r="D8" s="492"/>
      <c r="E8" s="492"/>
      <c r="F8" s="503"/>
      <c r="G8" s="503"/>
      <c r="H8" s="503"/>
      <c r="I8" s="57" t="s">
        <v>32</v>
      </c>
      <c r="J8" s="57" t="s">
        <v>33</v>
      </c>
      <c r="K8" s="57" t="s">
        <v>34</v>
      </c>
      <c r="L8" s="57" t="s">
        <v>26</v>
      </c>
      <c r="M8" s="57" t="s">
        <v>25</v>
      </c>
      <c r="N8" s="57" t="s">
        <v>26</v>
      </c>
      <c r="O8" s="57" t="s">
        <v>27</v>
      </c>
      <c r="P8" s="234" t="s">
        <v>28</v>
      </c>
      <c r="Q8" s="385"/>
      <c r="R8" s="385"/>
      <c r="S8" s="499"/>
      <c r="T8" s="492"/>
      <c r="U8" s="382"/>
      <c r="V8" s="385"/>
      <c r="W8" s="385"/>
      <c r="X8" s="385"/>
      <c r="Y8" s="385"/>
      <c r="Z8" s="385"/>
      <c r="AA8" s="414"/>
      <c r="AB8" s="388"/>
    </row>
    <row r="9" spans="1:28" ht="12.75">
      <c r="A9" s="9">
        <v>3</v>
      </c>
      <c r="B9">
        <v>7261</v>
      </c>
      <c r="C9" s="9">
        <v>1</v>
      </c>
      <c r="D9" s="9">
        <v>10200602</v>
      </c>
      <c r="E9" t="s">
        <v>702</v>
      </c>
      <c r="F9" s="9" t="s">
        <v>52</v>
      </c>
      <c r="G9" s="9">
        <v>1</v>
      </c>
      <c r="H9" t="s">
        <v>109</v>
      </c>
      <c r="I9">
        <v>86.086</v>
      </c>
      <c r="J9" t="s">
        <v>703</v>
      </c>
      <c r="K9">
        <v>48.1</v>
      </c>
      <c r="L9" t="s">
        <v>704</v>
      </c>
      <c r="M9">
        <v>1000</v>
      </c>
      <c r="N9" t="s">
        <v>60</v>
      </c>
      <c r="O9" s="9">
        <v>0.0001</v>
      </c>
      <c r="P9" s="9">
        <v>0</v>
      </c>
      <c r="Q9" s="9" t="s">
        <v>103</v>
      </c>
      <c r="R9" s="9" t="s">
        <v>103</v>
      </c>
      <c r="S9" s="9" t="s">
        <v>103</v>
      </c>
      <c r="T9" s="9" t="s">
        <v>103</v>
      </c>
      <c r="U9" s="9" t="s">
        <v>103</v>
      </c>
      <c r="V9" s="9" t="s">
        <v>103</v>
      </c>
      <c r="W9" s="200">
        <f>I9*Z9/2000</f>
        <v>0.025825799999999996</v>
      </c>
      <c r="X9" s="9">
        <v>0</v>
      </c>
      <c r="Y9" s="9">
        <v>5</v>
      </c>
      <c r="Z9">
        <v>0.6</v>
      </c>
      <c r="AA9" t="s">
        <v>705</v>
      </c>
      <c r="AB9" t="s">
        <v>103</v>
      </c>
    </row>
    <row r="10" spans="1:28" ht="12.75">
      <c r="A10" s="9">
        <v>3</v>
      </c>
      <c r="B10">
        <v>7262</v>
      </c>
      <c r="C10" s="9">
        <v>2</v>
      </c>
      <c r="D10" s="9">
        <v>10200602</v>
      </c>
      <c r="E10" t="s">
        <v>706</v>
      </c>
      <c r="F10" s="9" t="s">
        <v>52</v>
      </c>
      <c r="G10" s="9">
        <v>1</v>
      </c>
      <c r="H10" t="s">
        <v>109</v>
      </c>
      <c r="I10">
        <v>86.086</v>
      </c>
      <c r="J10" t="s">
        <v>703</v>
      </c>
      <c r="K10">
        <v>48.1</v>
      </c>
      <c r="L10" t="s">
        <v>704</v>
      </c>
      <c r="M10">
        <v>1000</v>
      </c>
      <c r="N10" t="s">
        <v>60</v>
      </c>
      <c r="O10" s="9">
        <v>0.0001</v>
      </c>
      <c r="P10" s="9">
        <v>0</v>
      </c>
      <c r="Q10" s="9" t="s">
        <v>103</v>
      </c>
      <c r="R10" s="9" t="s">
        <v>103</v>
      </c>
      <c r="S10" s="9" t="s">
        <v>103</v>
      </c>
      <c r="T10" s="9" t="s">
        <v>103</v>
      </c>
      <c r="U10" s="9" t="s">
        <v>103</v>
      </c>
      <c r="V10" s="9" t="s">
        <v>103</v>
      </c>
      <c r="W10" s="200">
        <f>I10*Z10/2000</f>
        <v>0.025825799999999996</v>
      </c>
      <c r="X10" s="9">
        <v>0</v>
      </c>
      <c r="Y10" s="9">
        <v>5</v>
      </c>
      <c r="Z10">
        <v>0.6</v>
      </c>
      <c r="AA10" t="s">
        <v>705</v>
      </c>
      <c r="AB10" t="s">
        <v>103</v>
      </c>
    </row>
    <row r="11" ht="12.75">
      <c r="W11" s="200"/>
    </row>
    <row r="12" spans="1:23" ht="12.75">
      <c r="A12" s="96" t="s">
        <v>125</v>
      </c>
      <c r="V12" t="s">
        <v>124</v>
      </c>
      <c r="W12" s="200">
        <f>SUM(W9:W10)</f>
        <v>0.05165159999999999</v>
      </c>
    </row>
    <row r="13" ht="12.75">
      <c r="A13" t="s">
        <v>126</v>
      </c>
    </row>
    <row r="14" ht="12.75">
      <c r="A14" t="s">
        <v>127</v>
      </c>
    </row>
    <row r="15" ht="12.75">
      <c r="A15" t="s">
        <v>128</v>
      </c>
    </row>
  </sheetData>
  <mergeCells count="23">
    <mergeCell ref="B7:B8"/>
    <mergeCell ref="C7:C8"/>
    <mergeCell ref="D7:D8"/>
    <mergeCell ref="E7:E8"/>
    <mergeCell ref="M7:P7"/>
    <mergeCell ref="F7:F8"/>
    <mergeCell ref="G7:G8"/>
    <mergeCell ref="H7:H8"/>
    <mergeCell ref="I7:L7"/>
    <mergeCell ref="X6:X8"/>
    <mergeCell ref="Y6:Y8"/>
    <mergeCell ref="Z6:Z8"/>
    <mergeCell ref="AA6:AA8"/>
    <mergeCell ref="AB6:AB8"/>
    <mergeCell ref="Q7:Q8"/>
    <mergeCell ref="R7:R8"/>
    <mergeCell ref="S7:S8"/>
    <mergeCell ref="U7:U8"/>
    <mergeCell ref="T7:T8"/>
    <mergeCell ref="R6:S6"/>
    <mergeCell ref="T6:U6"/>
    <mergeCell ref="V6:V8"/>
    <mergeCell ref="W6:W8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73"/>
  <sheetViews>
    <sheetView workbookViewId="0" topLeftCell="A1">
      <selection activeCell="D3" sqref="D3"/>
    </sheetView>
  </sheetViews>
  <sheetFormatPr defaultColWidth="9.140625" defaultRowHeight="12.75"/>
  <cols>
    <col min="1" max="1" width="7.421875" style="0" customWidth="1"/>
    <col min="2" max="2" width="8.7109375" style="0" customWidth="1"/>
    <col min="3" max="3" width="9.57421875" style="0" customWidth="1"/>
    <col min="4" max="4" width="10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15.7109375" style="0" customWidth="1"/>
    <col min="12" max="12" width="9.7109375" style="0" customWidth="1"/>
    <col min="18" max="18" width="17.00390625" style="0" customWidth="1"/>
    <col min="20" max="20" width="19.8515625" style="0" customWidth="1"/>
    <col min="22" max="22" width="10.57421875" style="0" customWidth="1"/>
    <col min="23" max="24" width="11.7109375" style="0" customWidth="1"/>
    <col min="27" max="27" width="10.7109375" style="0" customWidth="1"/>
    <col min="28" max="28" width="29.140625" style="0" customWidth="1"/>
  </cols>
  <sheetData>
    <row r="1" spans="1:5" ht="15.75">
      <c r="A1" s="96" t="s">
        <v>707</v>
      </c>
      <c r="B1" s="59"/>
      <c r="E1" s="4" t="s">
        <v>1</v>
      </c>
    </row>
    <row r="2" spans="1:5" ht="15">
      <c r="A2" s="59"/>
      <c r="B2" s="59"/>
      <c r="E2" s="5" t="s">
        <v>95</v>
      </c>
    </row>
    <row r="3" spans="1:2" ht="12.75">
      <c r="A3" s="96" t="s">
        <v>2</v>
      </c>
      <c r="B3" s="96" t="s">
        <v>708</v>
      </c>
    </row>
    <row r="4" spans="1:2" ht="12.75">
      <c r="A4" s="61">
        <v>10716</v>
      </c>
      <c r="B4" s="96" t="s">
        <v>709</v>
      </c>
    </row>
    <row r="5" ht="12.75">
      <c r="B5" t="s">
        <v>161</v>
      </c>
    </row>
    <row r="6" spans="17:28" ht="16.5" customHeight="1">
      <c r="Q6" s="233"/>
      <c r="R6" s="493" t="s">
        <v>16</v>
      </c>
      <c r="S6" s="414"/>
      <c r="T6" s="494" t="s">
        <v>17</v>
      </c>
      <c r="U6" s="414"/>
      <c r="V6" s="396" t="s">
        <v>18</v>
      </c>
      <c r="W6" s="396" t="s">
        <v>19</v>
      </c>
      <c r="X6" s="396" t="s">
        <v>100</v>
      </c>
      <c r="Y6" s="396" t="s">
        <v>21</v>
      </c>
      <c r="Z6" s="396" t="s">
        <v>22</v>
      </c>
      <c r="AA6" s="396" t="s">
        <v>23</v>
      </c>
      <c r="AB6" s="502" t="s">
        <v>24</v>
      </c>
    </row>
    <row r="7" spans="2:28" s="9" customFormat="1" ht="24.75" customHeight="1">
      <c r="B7" s="500" t="s">
        <v>6</v>
      </c>
      <c r="C7" s="478" t="s">
        <v>7</v>
      </c>
      <c r="D7" s="478" t="s">
        <v>8</v>
      </c>
      <c r="E7" s="478" t="s">
        <v>9</v>
      </c>
      <c r="F7" s="478" t="s">
        <v>10</v>
      </c>
      <c r="G7" s="478" t="s">
        <v>11</v>
      </c>
      <c r="H7" s="478" t="s">
        <v>12</v>
      </c>
      <c r="I7" s="496" t="s">
        <v>576</v>
      </c>
      <c r="J7" s="504"/>
      <c r="K7" s="504"/>
      <c r="L7" s="505"/>
      <c r="M7" s="496" t="s">
        <v>14</v>
      </c>
      <c r="N7" s="497"/>
      <c r="O7" s="497"/>
      <c r="P7" s="498"/>
      <c r="Q7" s="396" t="s">
        <v>15</v>
      </c>
      <c r="R7" s="396" t="s">
        <v>29</v>
      </c>
      <c r="S7" s="397" t="s">
        <v>30</v>
      </c>
      <c r="T7" s="478" t="s">
        <v>101</v>
      </c>
      <c r="U7" s="379" t="s">
        <v>30</v>
      </c>
      <c r="V7" s="385"/>
      <c r="W7" s="385"/>
      <c r="X7" s="385"/>
      <c r="Y7" s="385"/>
      <c r="Z7" s="385"/>
      <c r="AA7" s="414"/>
      <c r="AB7" s="388"/>
    </row>
    <row r="8" spans="1:28" ht="25.5" customHeight="1">
      <c r="A8" s="9" t="s">
        <v>5</v>
      </c>
      <c r="B8" s="501"/>
      <c r="C8" s="492"/>
      <c r="D8" s="492"/>
      <c r="E8" s="492"/>
      <c r="F8" s="503"/>
      <c r="G8" s="503"/>
      <c r="H8" s="503"/>
      <c r="I8" s="57" t="s">
        <v>32</v>
      </c>
      <c r="J8" s="57" t="s">
        <v>33</v>
      </c>
      <c r="K8" s="57" t="s">
        <v>34</v>
      </c>
      <c r="L8" s="57" t="s">
        <v>26</v>
      </c>
      <c r="M8" s="57" t="s">
        <v>25</v>
      </c>
      <c r="N8" s="57" t="s">
        <v>26</v>
      </c>
      <c r="O8" s="57" t="s">
        <v>27</v>
      </c>
      <c r="P8" s="234" t="s">
        <v>28</v>
      </c>
      <c r="Q8" s="385"/>
      <c r="R8" s="385"/>
      <c r="S8" s="499"/>
      <c r="T8" s="492"/>
      <c r="U8" s="382"/>
      <c r="V8" s="385"/>
      <c r="W8" s="385"/>
      <c r="X8" s="385"/>
      <c r="Y8" s="385"/>
      <c r="Z8" s="385"/>
      <c r="AA8" s="414"/>
      <c r="AB8" s="388"/>
    </row>
    <row r="9" spans="1:28" ht="12.75">
      <c r="A9" s="9">
        <v>3</v>
      </c>
      <c r="B9">
        <v>3685</v>
      </c>
      <c r="C9">
        <v>1</v>
      </c>
      <c r="D9" s="9">
        <v>10200601</v>
      </c>
      <c r="E9" t="s">
        <v>710</v>
      </c>
      <c r="F9" s="9" t="s">
        <v>52</v>
      </c>
      <c r="G9" s="9">
        <v>1</v>
      </c>
      <c r="H9" t="s">
        <v>109</v>
      </c>
      <c r="I9">
        <v>428.4</v>
      </c>
      <c r="J9" t="s">
        <v>371</v>
      </c>
      <c r="K9" s="221">
        <v>464</v>
      </c>
      <c r="L9" s="253" t="s">
        <v>711</v>
      </c>
      <c r="M9" s="221">
        <v>21502</v>
      </c>
      <c r="N9" s="253" t="s">
        <v>566</v>
      </c>
      <c r="O9" s="9" t="s">
        <v>103</v>
      </c>
      <c r="P9" s="9" t="s">
        <v>103</v>
      </c>
      <c r="Q9" s="9" t="s">
        <v>103</v>
      </c>
      <c r="R9" s="9" t="s">
        <v>103</v>
      </c>
      <c r="S9" s="9" t="s">
        <v>103</v>
      </c>
      <c r="T9" s="9" t="s">
        <v>103</v>
      </c>
      <c r="U9" s="9" t="s">
        <v>103</v>
      </c>
      <c r="V9" s="9" t="s">
        <v>103</v>
      </c>
      <c r="W9" s="254">
        <f>I9*Z9/2000</f>
        <v>0.12852</v>
      </c>
      <c r="X9" s="9">
        <v>0</v>
      </c>
      <c r="Y9" s="9">
        <v>8</v>
      </c>
      <c r="Z9">
        <v>0.6</v>
      </c>
      <c r="AA9" t="s">
        <v>712</v>
      </c>
      <c r="AB9" t="s">
        <v>103</v>
      </c>
    </row>
    <row r="10" spans="1:28" ht="12.75">
      <c r="A10" s="9">
        <v>3</v>
      </c>
      <c r="B10">
        <v>9149</v>
      </c>
      <c r="C10">
        <v>105</v>
      </c>
      <c r="D10" s="9">
        <v>20200402</v>
      </c>
      <c r="E10" t="s">
        <v>713</v>
      </c>
      <c r="F10" s="9" t="s">
        <v>38</v>
      </c>
      <c r="G10" s="9">
        <v>105</v>
      </c>
      <c r="H10" t="s">
        <v>430</v>
      </c>
      <c r="I10">
        <v>2</v>
      </c>
      <c r="J10" t="s">
        <v>69</v>
      </c>
      <c r="K10" s="221">
        <v>725</v>
      </c>
      <c r="L10" s="253" t="s">
        <v>403</v>
      </c>
      <c r="M10" s="221">
        <v>138000</v>
      </c>
      <c r="N10" s="253" t="s">
        <v>80</v>
      </c>
      <c r="O10" s="9">
        <v>0.5</v>
      </c>
      <c r="P10" s="9">
        <v>0.1</v>
      </c>
      <c r="Q10" s="9" t="s">
        <v>103</v>
      </c>
      <c r="R10" s="9" t="s">
        <v>103</v>
      </c>
      <c r="S10" s="9" t="s">
        <v>103</v>
      </c>
      <c r="T10" s="9" t="s">
        <v>103</v>
      </c>
      <c r="U10" s="9" t="s">
        <v>103</v>
      </c>
      <c r="V10" s="9" t="s">
        <v>103</v>
      </c>
      <c r="W10" s="254">
        <f>I10*K10*Z10/2000</f>
        <v>0.00586525</v>
      </c>
      <c r="X10" s="9">
        <v>0</v>
      </c>
      <c r="Y10" s="9">
        <v>8</v>
      </c>
      <c r="Z10">
        <v>0.00809</v>
      </c>
      <c r="AA10" t="s">
        <v>259</v>
      </c>
      <c r="AB10" t="s">
        <v>103</v>
      </c>
    </row>
    <row r="11" spans="1:28" ht="12.75">
      <c r="A11" s="9">
        <v>3</v>
      </c>
      <c r="B11">
        <v>9150</v>
      </c>
      <c r="C11">
        <v>106</v>
      </c>
      <c r="D11" s="9">
        <v>20200102</v>
      </c>
      <c r="E11" t="s">
        <v>714</v>
      </c>
      <c r="F11" s="9" t="s">
        <v>38</v>
      </c>
      <c r="G11" s="9">
        <v>106</v>
      </c>
      <c r="H11" t="s">
        <v>430</v>
      </c>
      <c r="I11">
        <v>1764</v>
      </c>
      <c r="J11" t="s">
        <v>69</v>
      </c>
      <c r="K11" s="221">
        <v>460</v>
      </c>
      <c r="L11" s="253" t="s">
        <v>403</v>
      </c>
      <c r="M11" s="221">
        <v>138000</v>
      </c>
      <c r="N11" s="253" t="s">
        <v>80</v>
      </c>
      <c r="O11" s="9">
        <v>0.5</v>
      </c>
      <c r="P11" s="9">
        <v>0.1</v>
      </c>
      <c r="Q11" s="9" t="s">
        <v>103</v>
      </c>
      <c r="R11" s="9" t="s">
        <v>103</v>
      </c>
      <c r="S11" s="9" t="s">
        <v>103</v>
      </c>
      <c r="T11" s="9" t="s">
        <v>103</v>
      </c>
      <c r="U11" s="9" t="s">
        <v>103</v>
      </c>
      <c r="V11" s="9" t="s">
        <v>103</v>
      </c>
      <c r="W11" s="254">
        <f>I11*K11*Z11/2000</f>
        <v>0.8317260000000001</v>
      </c>
      <c r="X11" s="9">
        <v>0</v>
      </c>
      <c r="Y11" s="9">
        <v>8</v>
      </c>
      <c r="Z11">
        <v>0.00205</v>
      </c>
      <c r="AA11" t="s">
        <v>259</v>
      </c>
      <c r="AB11" t="s">
        <v>103</v>
      </c>
    </row>
    <row r="12" spans="1:28" ht="12.75">
      <c r="A12" s="9">
        <v>3</v>
      </c>
      <c r="B12">
        <v>9151</v>
      </c>
      <c r="C12">
        <v>107</v>
      </c>
      <c r="D12" s="9">
        <v>20200102</v>
      </c>
      <c r="E12" t="s">
        <v>715</v>
      </c>
      <c r="F12" s="9" t="s">
        <v>38</v>
      </c>
      <c r="G12" s="9">
        <v>107</v>
      </c>
      <c r="H12" t="s">
        <v>430</v>
      </c>
      <c r="I12">
        <v>1340</v>
      </c>
      <c r="J12" t="s">
        <v>69</v>
      </c>
      <c r="K12" s="221">
        <v>225</v>
      </c>
      <c r="L12" s="253" t="s">
        <v>403</v>
      </c>
      <c r="M12" s="221">
        <v>138000</v>
      </c>
      <c r="N12" s="253" t="s">
        <v>80</v>
      </c>
      <c r="O12" s="9">
        <v>0.5</v>
      </c>
      <c r="P12" s="9">
        <v>0.1</v>
      </c>
      <c r="Q12" s="9" t="s">
        <v>103</v>
      </c>
      <c r="R12" s="9" t="s">
        <v>103</v>
      </c>
      <c r="S12" s="9" t="s">
        <v>103</v>
      </c>
      <c r="T12" s="9" t="s">
        <v>103</v>
      </c>
      <c r="U12" s="9" t="s">
        <v>103</v>
      </c>
      <c r="V12" s="9" t="s">
        <v>103</v>
      </c>
      <c r="W12" s="254">
        <f aca="true" t="shared" si="0" ref="W12:W27">I12*K12*Z12/2000</f>
        <v>0.3090375</v>
      </c>
      <c r="X12" s="9">
        <v>0</v>
      </c>
      <c r="Y12" s="9">
        <v>8</v>
      </c>
      <c r="Z12">
        <v>0.00205</v>
      </c>
      <c r="AA12" t="s">
        <v>259</v>
      </c>
      <c r="AB12" t="s">
        <v>103</v>
      </c>
    </row>
    <row r="13" spans="1:28" ht="12.75">
      <c r="A13" s="9">
        <v>3</v>
      </c>
      <c r="B13">
        <v>9152</v>
      </c>
      <c r="C13">
        <v>108</v>
      </c>
      <c r="D13" s="9">
        <v>20200102</v>
      </c>
      <c r="E13" t="s">
        <v>716</v>
      </c>
      <c r="F13" s="9" t="s">
        <v>38</v>
      </c>
      <c r="G13" s="9">
        <v>108</v>
      </c>
      <c r="H13" t="s">
        <v>430</v>
      </c>
      <c r="I13">
        <v>1240</v>
      </c>
      <c r="J13" t="s">
        <v>69</v>
      </c>
      <c r="K13" s="221">
        <v>225</v>
      </c>
      <c r="L13" s="253" t="s">
        <v>403</v>
      </c>
      <c r="M13" s="221">
        <v>138000</v>
      </c>
      <c r="N13" s="253" t="s">
        <v>80</v>
      </c>
      <c r="O13" s="9">
        <v>0.5</v>
      </c>
      <c r="P13" s="9">
        <v>0.1</v>
      </c>
      <c r="Q13" s="9" t="s">
        <v>103</v>
      </c>
      <c r="R13" s="9" t="s">
        <v>103</v>
      </c>
      <c r="S13" s="9" t="s">
        <v>103</v>
      </c>
      <c r="T13" s="9" t="s">
        <v>103</v>
      </c>
      <c r="U13" s="9" t="s">
        <v>103</v>
      </c>
      <c r="V13" s="9" t="s">
        <v>103</v>
      </c>
      <c r="W13" s="254">
        <f t="shared" si="0"/>
        <v>0.28597500000000003</v>
      </c>
      <c r="X13" s="9">
        <v>0</v>
      </c>
      <c r="Y13" s="9">
        <v>8</v>
      </c>
      <c r="Z13">
        <v>0.00205</v>
      </c>
      <c r="AA13" t="s">
        <v>259</v>
      </c>
      <c r="AB13" t="s">
        <v>103</v>
      </c>
    </row>
    <row r="14" spans="1:28" ht="12.75">
      <c r="A14" s="9">
        <v>3</v>
      </c>
      <c r="B14">
        <v>9153</v>
      </c>
      <c r="C14">
        <v>109</v>
      </c>
      <c r="D14" s="9">
        <v>20200102</v>
      </c>
      <c r="E14" t="s">
        <v>717</v>
      </c>
      <c r="F14" s="9" t="s">
        <v>38</v>
      </c>
      <c r="G14" s="9">
        <v>109</v>
      </c>
      <c r="H14" t="s">
        <v>430</v>
      </c>
      <c r="I14">
        <v>1002</v>
      </c>
      <c r="J14" t="s">
        <v>69</v>
      </c>
      <c r="K14" s="221">
        <v>225</v>
      </c>
      <c r="L14" s="253" t="s">
        <v>403</v>
      </c>
      <c r="M14" s="221">
        <v>138000</v>
      </c>
      <c r="N14" s="253" t="s">
        <v>80</v>
      </c>
      <c r="O14" s="9">
        <v>0.5</v>
      </c>
      <c r="P14" s="9">
        <v>0.1</v>
      </c>
      <c r="Q14" s="9" t="s">
        <v>103</v>
      </c>
      <c r="R14" s="9" t="s">
        <v>103</v>
      </c>
      <c r="S14" s="9" t="s">
        <v>103</v>
      </c>
      <c r="T14" s="9" t="s">
        <v>103</v>
      </c>
      <c r="U14" s="9" t="s">
        <v>103</v>
      </c>
      <c r="V14" s="9" t="s">
        <v>103</v>
      </c>
      <c r="W14" s="254">
        <f t="shared" si="0"/>
        <v>0.23108625</v>
      </c>
      <c r="X14" s="9">
        <v>0</v>
      </c>
      <c r="Y14" s="9">
        <v>8</v>
      </c>
      <c r="Z14">
        <v>0.00205</v>
      </c>
      <c r="AA14" t="s">
        <v>259</v>
      </c>
      <c r="AB14" t="s">
        <v>103</v>
      </c>
    </row>
    <row r="15" spans="1:28" ht="12.75">
      <c r="A15" s="9">
        <v>3</v>
      </c>
      <c r="B15">
        <v>3331</v>
      </c>
      <c r="C15">
        <v>11</v>
      </c>
      <c r="D15" s="9">
        <v>30399999</v>
      </c>
      <c r="E15" t="s">
        <v>718</v>
      </c>
      <c r="F15" s="9" t="s">
        <v>38</v>
      </c>
      <c r="G15" s="9">
        <v>67</v>
      </c>
      <c r="H15" t="s">
        <v>109</v>
      </c>
      <c r="I15">
        <v>23.4</v>
      </c>
      <c r="J15" t="s">
        <v>371</v>
      </c>
      <c r="K15" s="221">
        <v>5.74</v>
      </c>
      <c r="L15" s="253" t="s">
        <v>140</v>
      </c>
      <c r="M15" s="221">
        <v>21502</v>
      </c>
      <c r="N15" s="253" t="s">
        <v>566</v>
      </c>
      <c r="O15" s="9">
        <v>0</v>
      </c>
      <c r="P15" s="9">
        <v>0</v>
      </c>
      <c r="Q15" s="9" t="s">
        <v>103</v>
      </c>
      <c r="R15" s="9" t="s">
        <v>103</v>
      </c>
      <c r="S15" s="9" t="s">
        <v>103</v>
      </c>
      <c r="T15" s="9" t="s">
        <v>103</v>
      </c>
      <c r="U15" s="9" t="s">
        <v>103</v>
      </c>
      <c r="V15" s="9" t="s">
        <v>103</v>
      </c>
      <c r="W15" s="254">
        <f aca="true" t="shared" si="1" ref="W15:W37">I15*Z15/2000</f>
        <v>0.007019999999999999</v>
      </c>
      <c r="X15" s="9">
        <v>0</v>
      </c>
      <c r="Y15" s="9">
        <v>8</v>
      </c>
      <c r="Z15">
        <v>0.6</v>
      </c>
      <c r="AA15" t="s">
        <v>712</v>
      </c>
      <c r="AB15" t="s">
        <v>103</v>
      </c>
    </row>
    <row r="16" spans="1:28" ht="12.75">
      <c r="A16" s="9">
        <v>3</v>
      </c>
      <c r="B16">
        <v>9154</v>
      </c>
      <c r="C16">
        <v>110</v>
      </c>
      <c r="D16" s="9">
        <v>20200102</v>
      </c>
      <c r="E16" t="s">
        <v>719</v>
      </c>
      <c r="F16" s="9" t="s">
        <v>38</v>
      </c>
      <c r="G16" s="9">
        <v>110</v>
      </c>
      <c r="H16" t="s">
        <v>430</v>
      </c>
      <c r="I16">
        <v>777</v>
      </c>
      <c r="J16" t="s">
        <v>69</v>
      </c>
      <c r="K16" s="221">
        <v>225</v>
      </c>
      <c r="L16" s="253" t="s">
        <v>403</v>
      </c>
      <c r="M16" s="221">
        <v>138000</v>
      </c>
      <c r="N16" s="253" t="s">
        <v>80</v>
      </c>
      <c r="O16" s="9">
        <v>0.5</v>
      </c>
      <c r="P16" s="9">
        <v>0.1</v>
      </c>
      <c r="Q16" s="9" t="s">
        <v>103</v>
      </c>
      <c r="R16" s="9" t="s">
        <v>103</v>
      </c>
      <c r="S16" s="9" t="s">
        <v>103</v>
      </c>
      <c r="T16" s="9" t="s">
        <v>103</v>
      </c>
      <c r="U16" s="9" t="s">
        <v>103</v>
      </c>
      <c r="V16" s="9" t="s">
        <v>103</v>
      </c>
      <c r="W16" s="254">
        <f t="shared" si="0"/>
        <v>0.179195625</v>
      </c>
      <c r="X16" s="9">
        <v>0</v>
      </c>
      <c r="Y16" s="9">
        <v>8</v>
      </c>
      <c r="Z16">
        <v>0.00205</v>
      </c>
      <c r="AA16" t="s">
        <v>259</v>
      </c>
      <c r="AB16" t="s">
        <v>103</v>
      </c>
    </row>
    <row r="17" spans="1:28" ht="12.75">
      <c r="A17" s="9">
        <v>3</v>
      </c>
      <c r="B17">
        <v>9155</v>
      </c>
      <c r="C17">
        <v>111</v>
      </c>
      <c r="D17" s="9">
        <v>20200102</v>
      </c>
      <c r="E17" t="s">
        <v>720</v>
      </c>
      <c r="F17" s="9" t="s">
        <v>38</v>
      </c>
      <c r="G17" s="9">
        <v>111</v>
      </c>
      <c r="H17" t="s">
        <v>430</v>
      </c>
      <c r="I17">
        <v>475</v>
      </c>
      <c r="J17" t="s">
        <v>69</v>
      </c>
      <c r="K17" s="221">
        <v>225</v>
      </c>
      <c r="L17" s="253" t="s">
        <v>403</v>
      </c>
      <c r="M17" s="221">
        <v>138000</v>
      </c>
      <c r="N17" s="253" t="s">
        <v>80</v>
      </c>
      <c r="O17" s="9">
        <v>0.5</v>
      </c>
      <c r="P17" s="9">
        <v>0.1</v>
      </c>
      <c r="Q17" s="9" t="s">
        <v>103</v>
      </c>
      <c r="R17" s="9" t="s">
        <v>103</v>
      </c>
      <c r="S17" s="9" t="s">
        <v>103</v>
      </c>
      <c r="T17" s="9" t="s">
        <v>103</v>
      </c>
      <c r="U17" s="9" t="s">
        <v>103</v>
      </c>
      <c r="V17" s="9" t="s">
        <v>103</v>
      </c>
      <c r="W17" s="254">
        <f t="shared" si="0"/>
        <v>0.10954687500000002</v>
      </c>
      <c r="X17" s="9">
        <v>0</v>
      </c>
      <c r="Y17" s="9">
        <v>8</v>
      </c>
      <c r="Z17">
        <v>0.00205</v>
      </c>
      <c r="AA17" t="s">
        <v>259</v>
      </c>
      <c r="AB17" t="s">
        <v>103</v>
      </c>
    </row>
    <row r="18" spans="1:28" ht="12.75">
      <c r="A18" s="9">
        <v>3</v>
      </c>
      <c r="B18">
        <v>9156</v>
      </c>
      <c r="C18">
        <v>112</v>
      </c>
      <c r="D18" s="9">
        <v>20200102</v>
      </c>
      <c r="E18" t="s">
        <v>721</v>
      </c>
      <c r="F18" s="9" t="s">
        <v>38</v>
      </c>
      <c r="G18" s="9">
        <v>112</v>
      </c>
      <c r="H18" t="s">
        <v>430</v>
      </c>
      <c r="I18">
        <v>1659</v>
      </c>
      <c r="J18" t="s">
        <v>69</v>
      </c>
      <c r="K18" s="221">
        <v>460</v>
      </c>
      <c r="L18" s="253" t="s">
        <v>403</v>
      </c>
      <c r="M18" s="221">
        <v>138000</v>
      </c>
      <c r="N18" s="253" t="s">
        <v>80</v>
      </c>
      <c r="O18" s="9">
        <v>0.5</v>
      </c>
      <c r="P18" s="9">
        <v>0.1</v>
      </c>
      <c r="Q18" s="9" t="s">
        <v>103</v>
      </c>
      <c r="R18" s="9" t="s">
        <v>103</v>
      </c>
      <c r="S18" s="9" t="s">
        <v>103</v>
      </c>
      <c r="T18" s="9" t="s">
        <v>103</v>
      </c>
      <c r="U18" s="9" t="s">
        <v>103</v>
      </c>
      <c r="V18" s="9" t="s">
        <v>103</v>
      </c>
      <c r="W18" s="254">
        <f t="shared" si="0"/>
        <v>0.7822185</v>
      </c>
      <c r="X18" s="9">
        <v>0</v>
      </c>
      <c r="Y18" s="9">
        <v>8</v>
      </c>
      <c r="Z18">
        <v>0.00205</v>
      </c>
      <c r="AA18" t="s">
        <v>259</v>
      </c>
      <c r="AB18" t="s">
        <v>103</v>
      </c>
    </row>
    <row r="19" spans="1:28" ht="12.75">
      <c r="A19" s="9">
        <v>3</v>
      </c>
      <c r="B19">
        <v>9157</v>
      </c>
      <c r="C19">
        <v>113</v>
      </c>
      <c r="D19" s="9">
        <v>20200102</v>
      </c>
      <c r="E19" t="s">
        <v>722</v>
      </c>
      <c r="F19" s="9" t="s">
        <v>38</v>
      </c>
      <c r="G19" s="9">
        <v>113</v>
      </c>
      <c r="H19" t="s">
        <v>430</v>
      </c>
      <c r="I19">
        <v>462</v>
      </c>
      <c r="J19" t="s">
        <v>69</v>
      </c>
      <c r="K19" s="221">
        <v>713</v>
      </c>
      <c r="L19" s="253" t="s">
        <v>403</v>
      </c>
      <c r="M19" s="221">
        <v>138000</v>
      </c>
      <c r="N19" s="253" t="s">
        <v>80</v>
      </c>
      <c r="O19" s="9">
        <v>0.5</v>
      </c>
      <c r="P19" s="9">
        <v>0.1</v>
      </c>
      <c r="Q19" s="9" t="s">
        <v>103</v>
      </c>
      <c r="R19" s="9" t="s">
        <v>103</v>
      </c>
      <c r="S19" s="9" t="s">
        <v>103</v>
      </c>
      <c r="T19" s="9" t="s">
        <v>103</v>
      </c>
      <c r="U19" s="9" t="s">
        <v>103</v>
      </c>
      <c r="V19" s="9" t="s">
        <v>103</v>
      </c>
      <c r="W19" s="254">
        <f t="shared" si="0"/>
        <v>1.3324472699999999</v>
      </c>
      <c r="X19" s="9">
        <v>0</v>
      </c>
      <c r="Y19" s="9">
        <v>8</v>
      </c>
      <c r="Z19">
        <v>0.00809</v>
      </c>
      <c r="AA19" t="s">
        <v>259</v>
      </c>
      <c r="AB19" t="s">
        <v>103</v>
      </c>
    </row>
    <row r="20" spans="1:28" ht="12.75">
      <c r="A20" s="9">
        <v>3</v>
      </c>
      <c r="B20">
        <v>9158</v>
      </c>
      <c r="C20">
        <v>114</v>
      </c>
      <c r="D20" s="9">
        <v>20200102</v>
      </c>
      <c r="E20" t="s">
        <v>723</v>
      </c>
      <c r="F20" s="9" t="s">
        <v>38</v>
      </c>
      <c r="G20" s="9">
        <v>114</v>
      </c>
      <c r="H20" t="s">
        <v>430</v>
      </c>
      <c r="I20">
        <v>514</v>
      </c>
      <c r="J20" t="s">
        <v>69</v>
      </c>
      <c r="K20" s="221">
        <v>225</v>
      </c>
      <c r="L20" s="253" t="s">
        <v>403</v>
      </c>
      <c r="M20" s="221">
        <v>138000</v>
      </c>
      <c r="N20" s="253" t="s">
        <v>80</v>
      </c>
      <c r="O20" s="9">
        <v>0.5</v>
      </c>
      <c r="P20" s="9">
        <v>0.1</v>
      </c>
      <c r="Q20" s="9" t="s">
        <v>103</v>
      </c>
      <c r="R20" s="9" t="s">
        <v>103</v>
      </c>
      <c r="S20" s="9" t="s">
        <v>103</v>
      </c>
      <c r="T20" s="9" t="s">
        <v>103</v>
      </c>
      <c r="U20" s="9" t="s">
        <v>103</v>
      </c>
      <c r="V20" s="9" t="s">
        <v>103</v>
      </c>
      <c r="W20" s="254">
        <f t="shared" si="0"/>
        <v>0.11854125</v>
      </c>
      <c r="X20" s="9">
        <v>0</v>
      </c>
      <c r="Y20" s="9">
        <v>8</v>
      </c>
      <c r="Z20">
        <v>0.00205</v>
      </c>
      <c r="AA20" t="s">
        <v>259</v>
      </c>
      <c r="AB20" t="s">
        <v>103</v>
      </c>
    </row>
    <row r="21" spans="1:28" ht="12.75">
      <c r="A21" s="9">
        <v>3</v>
      </c>
      <c r="B21">
        <v>9159</v>
      </c>
      <c r="C21">
        <v>115</v>
      </c>
      <c r="D21" s="9">
        <v>20200102</v>
      </c>
      <c r="E21" t="s">
        <v>724</v>
      </c>
      <c r="F21" s="9" t="s">
        <v>38</v>
      </c>
      <c r="G21" s="9">
        <v>115</v>
      </c>
      <c r="H21" t="s">
        <v>430</v>
      </c>
      <c r="I21">
        <v>117</v>
      </c>
      <c r="J21" t="s">
        <v>69</v>
      </c>
      <c r="K21" s="221">
        <v>225</v>
      </c>
      <c r="L21" s="253" t="s">
        <v>403</v>
      </c>
      <c r="M21" s="221">
        <v>138000</v>
      </c>
      <c r="N21" s="253" t="s">
        <v>80</v>
      </c>
      <c r="O21" s="9">
        <v>0.5</v>
      </c>
      <c r="P21" s="9">
        <v>0.1</v>
      </c>
      <c r="Q21" s="9" t="s">
        <v>103</v>
      </c>
      <c r="R21" s="9" t="s">
        <v>103</v>
      </c>
      <c r="S21" s="9" t="s">
        <v>103</v>
      </c>
      <c r="T21" s="9" t="s">
        <v>103</v>
      </c>
      <c r="U21" s="9" t="s">
        <v>103</v>
      </c>
      <c r="V21" s="9" t="s">
        <v>103</v>
      </c>
      <c r="W21" s="254">
        <f t="shared" si="0"/>
        <v>0.026983125</v>
      </c>
      <c r="X21" s="9">
        <v>0</v>
      </c>
      <c r="Y21" s="9">
        <v>8</v>
      </c>
      <c r="Z21">
        <v>0.00205</v>
      </c>
      <c r="AA21" t="s">
        <v>259</v>
      </c>
      <c r="AB21" t="s">
        <v>103</v>
      </c>
    </row>
    <row r="22" spans="1:28" ht="12.75">
      <c r="A22" s="9">
        <v>3</v>
      </c>
      <c r="B22">
        <v>9160</v>
      </c>
      <c r="C22">
        <v>116</v>
      </c>
      <c r="D22" s="9">
        <v>20200102</v>
      </c>
      <c r="E22" t="s">
        <v>725</v>
      </c>
      <c r="F22" s="9" t="s">
        <v>38</v>
      </c>
      <c r="G22" s="9">
        <v>116</v>
      </c>
      <c r="H22" t="s">
        <v>430</v>
      </c>
      <c r="I22">
        <v>635</v>
      </c>
      <c r="J22" t="s">
        <v>69</v>
      </c>
      <c r="K22" s="221">
        <v>260</v>
      </c>
      <c r="L22" s="253" t="s">
        <v>403</v>
      </c>
      <c r="M22" s="221">
        <v>138000</v>
      </c>
      <c r="N22" s="253" t="s">
        <v>80</v>
      </c>
      <c r="O22" s="9">
        <v>0.5</v>
      </c>
      <c r="P22" s="9">
        <v>0.1</v>
      </c>
      <c r="Q22" s="9" t="s">
        <v>103</v>
      </c>
      <c r="R22" s="9" t="s">
        <v>103</v>
      </c>
      <c r="S22" s="9" t="s">
        <v>103</v>
      </c>
      <c r="T22" s="9" t="s">
        <v>103</v>
      </c>
      <c r="U22" s="9" t="s">
        <v>103</v>
      </c>
      <c r="V22" s="9" t="s">
        <v>103</v>
      </c>
      <c r="W22" s="254">
        <f t="shared" si="0"/>
        <v>0.16922750000000003</v>
      </c>
      <c r="X22" s="9">
        <v>0</v>
      </c>
      <c r="Y22" s="9">
        <v>8</v>
      </c>
      <c r="Z22">
        <v>0.00205</v>
      </c>
      <c r="AA22" t="s">
        <v>259</v>
      </c>
      <c r="AB22" t="s">
        <v>103</v>
      </c>
    </row>
    <row r="23" spans="1:28" ht="12.75">
      <c r="A23" s="9">
        <v>3</v>
      </c>
      <c r="B23">
        <v>9161</v>
      </c>
      <c r="C23">
        <v>117</v>
      </c>
      <c r="D23" s="9">
        <v>20200102</v>
      </c>
      <c r="E23" t="s">
        <v>726</v>
      </c>
      <c r="F23" s="9" t="s">
        <v>38</v>
      </c>
      <c r="G23" s="9">
        <v>117</v>
      </c>
      <c r="H23" t="s">
        <v>430</v>
      </c>
      <c r="I23">
        <v>73</v>
      </c>
      <c r="J23" t="s">
        <v>69</v>
      </c>
      <c r="K23" s="221">
        <v>460</v>
      </c>
      <c r="L23" s="253" t="s">
        <v>403</v>
      </c>
      <c r="M23" s="221">
        <v>138000</v>
      </c>
      <c r="N23" s="253" t="s">
        <v>80</v>
      </c>
      <c r="O23" s="9">
        <v>0.5</v>
      </c>
      <c r="P23" s="9">
        <v>0.1</v>
      </c>
      <c r="Q23" s="9" t="s">
        <v>103</v>
      </c>
      <c r="R23" s="9" t="s">
        <v>103</v>
      </c>
      <c r="S23" s="9" t="s">
        <v>103</v>
      </c>
      <c r="T23" s="9" t="s">
        <v>103</v>
      </c>
      <c r="U23" s="9" t="s">
        <v>103</v>
      </c>
      <c r="V23" s="9" t="s">
        <v>103</v>
      </c>
      <c r="W23" s="254">
        <f t="shared" si="0"/>
        <v>0.034419500000000006</v>
      </c>
      <c r="X23" s="9">
        <v>0</v>
      </c>
      <c r="Y23" s="9">
        <v>8</v>
      </c>
      <c r="Z23">
        <v>0.00205</v>
      </c>
      <c r="AA23" t="s">
        <v>259</v>
      </c>
      <c r="AB23" t="s">
        <v>103</v>
      </c>
    </row>
    <row r="24" spans="1:28" ht="12.75">
      <c r="A24" s="9">
        <v>3</v>
      </c>
      <c r="B24">
        <v>9162</v>
      </c>
      <c r="C24">
        <v>118</v>
      </c>
      <c r="D24" s="9">
        <v>20200102</v>
      </c>
      <c r="E24" t="s">
        <v>727</v>
      </c>
      <c r="F24" s="9" t="s">
        <v>38</v>
      </c>
      <c r="G24" s="9">
        <v>118</v>
      </c>
      <c r="H24" t="s">
        <v>430</v>
      </c>
      <c r="I24">
        <v>49</v>
      </c>
      <c r="J24" t="s">
        <v>69</v>
      </c>
      <c r="K24" s="221">
        <v>460</v>
      </c>
      <c r="L24" s="253" t="s">
        <v>403</v>
      </c>
      <c r="M24" s="221">
        <v>138000</v>
      </c>
      <c r="N24" s="253" t="s">
        <v>80</v>
      </c>
      <c r="O24" s="9">
        <v>0.5</v>
      </c>
      <c r="P24" s="9">
        <v>0.1</v>
      </c>
      <c r="Q24" s="9" t="s">
        <v>103</v>
      </c>
      <c r="R24" s="9" t="s">
        <v>103</v>
      </c>
      <c r="S24" s="9" t="s">
        <v>103</v>
      </c>
      <c r="T24" s="9" t="s">
        <v>103</v>
      </c>
      <c r="U24" s="9" t="s">
        <v>103</v>
      </c>
      <c r="V24" s="9" t="s">
        <v>103</v>
      </c>
      <c r="W24" s="254">
        <f t="shared" si="0"/>
        <v>0.0231035</v>
      </c>
      <c r="X24" s="9">
        <v>0</v>
      </c>
      <c r="Y24" s="9">
        <v>8</v>
      </c>
      <c r="Z24">
        <v>0.00205</v>
      </c>
      <c r="AA24" t="s">
        <v>259</v>
      </c>
      <c r="AB24" t="s">
        <v>103</v>
      </c>
    </row>
    <row r="25" spans="1:28" ht="12.75">
      <c r="A25" s="9">
        <v>3</v>
      </c>
      <c r="B25">
        <v>9163</v>
      </c>
      <c r="C25">
        <v>119</v>
      </c>
      <c r="D25" s="9">
        <v>20200102</v>
      </c>
      <c r="E25" t="s">
        <v>728</v>
      </c>
      <c r="F25" s="9" t="s">
        <v>38</v>
      </c>
      <c r="G25" s="9">
        <v>119</v>
      </c>
      <c r="H25" t="s">
        <v>430</v>
      </c>
      <c r="I25">
        <v>3473</v>
      </c>
      <c r="J25" t="s">
        <v>69</v>
      </c>
      <c r="K25" s="221">
        <v>460</v>
      </c>
      <c r="L25" s="253" t="s">
        <v>403</v>
      </c>
      <c r="M25" s="221">
        <v>138000</v>
      </c>
      <c r="N25" s="253" t="s">
        <v>80</v>
      </c>
      <c r="O25" s="9">
        <v>0.5</v>
      </c>
      <c r="P25" s="9">
        <v>0.1</v>
      </c>
      <c r="Q25" s="9" t="s">
        <v>103</v>
      </c>
      <c r="R25" s="9" t="s">
        <v>103</v>
      </c>
      <c r="S25" s="9" t="s">
        <v>103</v>
      </c>
      <c r="T25" s="9" t="s">
        <v>103</v>
      </c>
      <c r="U25" s="9" t="s">
        <v>103</v>
      </c>
      <c r="V25" s="9" t="s">
        <v>103</v>
      </c>
      <c r="W25" s="254">
        <f t="shared" si="0"/>
        <v>1.6375195</v>
      </c>
      <c r="X25" s="9">
        <v>0</v>
      </c>
      <c r="Y25" s="9">
        <v>8</v>
      </c>
      <c r="Z25">
        <v>0.00205</v>
      </c>
      <c r="AA25" t="s">
        <v>259</v>
      </c>
      <c r="AB25" t="s">
        <v>103</v>
      </c>
    </row>
    <row r="26" spans="1:28" ht="12.75">
      <c r="A26" s="9">
        <v>3</v>
      </c>
      <c r="B26">
        <v>3332</v>
      </c>
      <c r="C26">
        <v>12</v>
      </c>
      <c r="D26" s="9">
        <v>30399999</v>
      </c>
      <c r="E26" t="s">
        <v>729</v>
      </c>
      <c r="F26" s="9" t="s">
        <v>38</v>
      </c>
      <c r="G26" s="9">
        <v>67</v>
      </c>
      <c r="H26" t="s">
        <v>109</v>
      </c>
      <c r="I26">
        <v>23.4</v>
      </c>
      <c r="J26" t="s">
        <v>371</v>
      </c>
      <c r="K26" s="221">
        <v>5.74</v>
      </c>
      <c r="L26" s="253" t="s">
        <v>140</v>
      </c>
      <c r="M26" s="221">
        <v>21502</v>
      </c>
      <c r="N26" s="253" t="s">
        <v>566</v>
      </c>
      <c r="O26" s="9">
        <v>0</v>
      </c>
      <c r="P26" s="9">
        <v>0</v>
      </c>
      <c r="Q26" s="9" t="s">
        <v>103</v>
      </c>
      <c r="R26" s="9" t="s">
        <v>103</v>
      </c>
      <c r="S26" s="9" t="s">
        <v>103</v>
      </c>
      <c r="T26" s="9" t="s">
        <v>103</v>
      </c>
      <c r="U26" s="9" t="s">
        <v>103</v>
      </c>
      <c r="V26" s="9" t="s">
        <v>103</v>
      </c>
      <c r="W26" s="254">
        <f t="shared" si="1"/>
        <v>0.007019999999999999</v>
      </c>
      <c r="X26" s="9">
        <v>0</v>
      </c>
      <c r="Y26" s="9">
        <v>8</v>
      </c>
      <c r="Z26">
        <v>0.6</v>
      </c>
      <c r="AA26" t="s">
        <v>712</v>
      </c>
      <c r="AB26" t="s">
        <v>103</v>
      </c>
    </row>
    <row r="27" spans="1:28" ht="12.75">
      <c r="A27" s="9">
        <v>3</v>
      </c>
      <c r="B27">
        <v>9164</v>
      </c>
      <c r="C27">
        <v>120</v>
      </c>
      <c r="D27" s="9">
        <v>20200102</v>
      </c>
      <c r="E27" t="s">
        <v>730</v>
      </c>
      <c r="F27" s="9" t="s">
        <v>38</v>
      </c>
      <c r="G27" s="9">
        <v>120</v>
      </c>
      <c r="H27" t="s">
        <v>430</v>
      </c>
      <c r="I27">
        <v>1864</v>
      </c>
      <c r="J27" t="s">
        <v>69</v>
      </c>
      <c r="K27" s="221">
        <v>460</v>
      </c>
      <c r="L27" s="253" t="s">
        <v>403</v>
      </c>
      <c r="M27" s="221">
        <v>138000</v>
      </c>
      <c r="N27" s="253" t="s">
        <v>80</v>
      </c>
      <c r="O27" s="9">
        <v>0.5</v>
      </c>
      <c r="P27" s="9">
        <v>0.1</v>
      </c>
      <c r="Q27" s="9" t="s">
        <v>103</v>
      </c>
      <c r="R27" s="9" t="s">
        <v>103</v>
      </c>
      <c r="S27" s="9" t="s">
        <v>103</v>
      </c>
      <c r="T27" s="9" t="s">
        <v>103</v>
      </c>
      <c r="U27" s="9" t="s">
        <v>103</v>
      </c>
      <c r="V27" s="9" t="s">
        <v>103</v>
      </c>
      <c r="W27" s="254">
        <f t="shared" si="0"/>
        <v>0.8788760000000001</v>
      </c>
      <c r="X27" s="9">
        <v>0</v>
      </c>
      <c r="Y27" s="9">
        <v>8</v>
      </c>
      <c r="Z27">
        <v>0.00205</v>
      </c>
      <c r="AA27" t="s">
        <v>259</v>
      </c>
      <c r="AB27" t="s">
        <v>103</v>
      </c>
    </row>
    <row r="28" spans="1:28" ht="12.75">
      <c r="A28" s="9">
        <v>3</v>
      </c>
      <c r="B28">
        <v>13110</v>
      </c>
      <c r="C28">
        <v>126</v>
      </c>
      <c r="D28" s="9">
        <v>30399999</v>
      </c>
      <c r="E28" t="s">
        <v>731</v>
      </c>
      <c r="F28" s="9" t="s">
        <v>38</v>
      </c>
      <c r="G28" s="9">
        <v>70</v>
      </c>
      <c r="H28" t="s">
        <v>109</v>
      </c>
      <c r="I28">
        <v>49</v>
      </c>
      <c r="J28" t="s">
        <v>371</v>
      </c>
      <c r="K28" s="221">
        <v>1.1</v>
      </c>
      <c r="L28" s="253" t="s">
        <v>140</v>
      </c>
      <c r="M28" s="221">
        <v>21502</v>
      </c>
      <c r="N28" s="253" t="s">
        <v>566</v>
      </c>
      <c r="O28" s="9">
        <v>0</v>
      </c>
      <c r="P28" s="9">
        <v>0</v>
      </c>
      <c r="Q28" s="9" t="s">
        <v>103</v>
      </c>
      <c r="R28" s="9" t="s">
        <v>103</v>
      </c>
      <c r="S28" s="9" t="s">
        <v>103</v>
      </c>
      <c r="T28" s="9" t="s">
        <v>103</v>
      </c>
      <c r="U28" s="9" t="s">
        <v>103</v>
      </c>
      <c r="V28" s="9" t="s">
        <v>103</v>
      </c>
      <c r="W28" s="254">
        <f t="shared" si="1"/>
        <v>0.0147</v>
      </c>
      <c r="X28" s="9">
        <v>0</v>
      </c>
      <c r="Y28" s="9">
        <v>8</v>
      </c>
      <c r="Z28">
        <v>0.6</v>
      </c>
      <c r="AA28" t="s">
        <v>712</v>
      </c>
      <c r="AB28" t="s">
        <v>103</v>
      </c>
    </row>
    <row r="29" spans="1:28" ht="12.75">
      <c r="A29" s="9">
        <v>3</v>
      </c>
      <c r="B29">
        <v>3333</v>
      </c>
      <c r="C29">
        <v>13</v>
      </c>
      <c r="D29" s="9">
        <v>30399999</v>
      </c>
      <c r="E29" t="s">
        <v>732</v>
      </c>
      <c r="F29" s="9" t="s">
        <v>38</v>
      </c>
      <c r="G29" s="9">
        <v>67</v>
      </c>
      <c r="H29" t="s">
        <v>109</v>
      </c>
      <c r="I29">
        <v>23.4</v>
      </c>
      <c r="J29" t="s">
        <v>371</v>
      </c>
      <c r="K29" s="221">
        <v>5.74</v>
      </c>
      <c r="L29" s="253" t="s">
        <v>140</v>
      </c>
      <c r="M29" s="221">
        <v>21502</v>
      </c>
      <c r="N29" s="253" t="s">
        <v>566</v>
      </c>
      <c r="O29" s="9">
        <v>0</v>
      </c>
      <c r="P29" s="9">
        <v>0</v>
      </c>
      <c r="Q29" s="9" t="s">
        <v>103</v>
      </c>
      <c r="R29" s="9" t="s">
        <v>103</v>
      </c>
      <c r="S29" s="9" t="s">
        <v>103</v>
      </c>
      <c r="T29" s="9" t="s">
        <v>103</v>
      </c>
      <c r="U29" s="9" t="s">
        <v>103</v>
      </c>
      <c r="V29" s="9" t="s">
        <v>103</v>
      </c>
      <c r="W29" s="254">
        <f t="shared" si="1"/>
        <v>0.007019999999999999</v>
      </c>
      <c r="X29" s="9">
        <v>0</v>
      </c>
      <c r="Y29" s="9">
        <v>8</v>
      </c>
      <c r="Z29">
        <v>0.6</v>
      </c>
      <c r="AA29" t="s">
        <v>712</v>
      </c>
      <c r="AB29" t="s">
        <v>103</v>
      </c>
    </row>
    <row r="30" spans="1:28" ht="12.75">
      <c r="A30" s="9">
        <v>3</v>
      </c>
      <c r="B30">
        <v>3334</v>
      </c>
      <c r="C30">
        <v>14</v>
      </c>
      <c r="D30" s="9">
        <v>30399999</v>
      </c>
      <c r="E30" t="s">
        <v>733</v>
      </c>
      <c r="F30" s="9" t="s">
        <v>38</v>
      </c>
      <c r="G30" s="9">
        <v>67</v>
      </c>
      <c r="H30" t="s">
        <v>109</v>
      </c>
      <c r="I30">
        <v>23.4</v>
      </c>
      <c r="J30" t="s">
        <v>371</v>
      </c>
      <c r="K30" s="221">
        <v>5.74</v>
      </c>
      <c r="L30" s="253" t="s">
        <v>140</v>
      </c>
      <c r="M30" s="221">
        <v>21502</v>
      </c>
      <c r="N30" s="253" t="s">
        <v>566</v>
      </c>
      <c r="O30" s="9">
        <v>0</v>
      </c>
      <c r="P30" s="9">
        <v>0</v>
      </c>
      <c r="Q30" s="9" t="s">
        <v>103</v>
      </c>
      <c r="R30" s="9" t="s">
        <v>103</v>
      </c>
      <c r="S30" s="9" t="s">
        <v>103</v>
      </c>
      <c r="T30" s="9" t="s">
        <v>103</v>
      </c>
      <c r="U30" s="9" t="s">
        <v>103</v>
      </c>
      <c r="V30" s="9" t="s">
        <v>103</v>
      </c>
      <c r="W30" s="254">
        <f t="shared" si="1"/>
        <v>0.007019999999999999</v>
      </c>
      <c r="X30" s="9">
        <v>0</v>
      </c>
      <c r="Y30" s="9">
        <v>8</v>
      </c>
      <c r="Z30">
        <v>0.6</v>
      </c>
      <c r="AA30" t="s">
        <v>712</v>
      </c>
      <c r="AB30" t="s">
        <v>103</v>
      </c>
    </row>
    <row r="31" spans="1:28" ht="12.75">
      <c r="A31" s="9">
        <v>3</v>
      </c>
      <c r="B31">
        <v>3335</v>
      </c>
      <c r="C31">
        <v>15</v>
      </c>
      <c r="D31" s="9">
        <v>30399999</v>
      </c>
      <c r="E31" t="s">
        <v>734</v>
      </c>
      <c r="F31" s="9" t="s">
        <v>38</v>
      </c>
      <c r="G31" s="9">
        <v>67</v>
      </c>
      <c r="H31" t="s">
        <v>109</v>
      </c>
      <c r="I31">
        <v>23.4</v>
      </c>
      <c r="J31" t="s">
        <v>371</v>
      </c>
      <c r="K31" s="221">
        <v>5.74</v>
      </c>
      <c r="L31" s="253" t="s">
        <v>140</v>
      </c>
      <c r="M31" s="221">
        <v>21502</v>
      </c>
      <c r="N31" s="253" t="s">
        <v>566</v>
      </c>
      <c r="O31" s="9">
        <v>0</v>
      </c>
      <c r="P31" s="9">
        <v>0</v>
      </c>
      <c r="Q31" s="9" t="s">
        <v>103</v>
      </c>
      <c r="R31" s="9" t="s">
        <v>103</v>
      </c>
      <c r="S31" s="9" t="s">
        <v>103</v>
      </c>
      <c r="T31" s="9" t="s">
        <v>103</v>
      </c>
      <c r="U31" s="9" t="s">
        <v>103</v>
      </c>
      <c r="V31" s="9" t="s">
        <v>103</v>
      </c>
      <c r="W31" s="254">
        <f t="shared" si="1"/>
        <v>0.007019999999999999</v>
      </c>
      <c r="X31" s="9">
        <v>0</v>
      </c>
      <c r="Y31" s="9">
        <v>8</v>
      </c>
      <c r="Z31">
        <v>0.6</v>
      </c>
      <c r="AA31" t="s">
        <v>712</v>
      </c>
      <c r="AB31" t="s">
        <v>103</v>
      </c>
    </row>
    <row r="32" spans="1:28" ht="12.75">
      <c r="A32" s="9">
        <v>3</v>
      </c>
      <c r="B32">
        <v>3336</v>
      </c>
      <c r="C32">
        <v>16</v>
      </c>
      <c r="D32" s="9">
        <v>30399999</v>
      </c>
      <c r="E32" t="s">
        <v>735</v>
      </c>
      <c r="F32" s="9" t="s">
        <v>38</v>
      </c>
      <c r="G32" s="9">
        <v>68</v>
      </c>
      <c r="H32" t="s">
        <v>109</v>
      </c>
      <c r="I32">
        <v>23.4</v>
      </c>
      <c r="J32" t="s">
        <v>371</v>
      </c>
      <c r="K32" s="221">
        <v>5.74</v>
      </c>
      <c r="L32" s="253" t="s">
        <v>140</v>
      </c>
      <c r="M32" s="221">
        <v>21502</v>
      </c>
      <c r="N32" s="253" t="s">
        <v>566</v>
      </c>
      <c r="O32" s="9">
        <v>0</v>
      </c>
      <c r="P32" s="9">
        <v>0</v>
      </c>
      <c r="Q32" s="9" t="s">
        <v>103</v>
      </c>
      <c r="R32" s="9" t="s">
        <v>103</v>
      </c>
      <c r="S32" s="9" t="s">
        <v>103</v>
      </c>
      <c r="T32" s="9" t="s">
        <v>103</v>
      </c>
      <c r="U32" s="9" t="s">
        <v>103</v>
      </c>
      <c r="V32" s="9" t="s">
        <v>103</v>
      </c>
      <c r="W32" s="254">
        <f t="shared" si="1"/>
        <v>0.007019999999999999</v>
      </c>
      <c r="X32" s="9">
        <v>0</v>
      </c>
      <c r="Y32" s="9">
        <v>8</v>
      </c>
      <c r="Z32">
        <v>0.6</v>
      </c>
      <c r="AA32" t="s">
        <v>712</v>
      </c>
      <c r="AB32" t="s">
        <v>103</v>
      </c>
    </row>
    <row r="33" spans="1:28" ht="12.75">
      <c r="A33" s="9">
        <v>3</v>
      </c>
      <c r="B33">
        <v>3337</v>
      </c>
      <c r="C33">
        <v>17</v>
      </c>
      <c r="D33" s="9">
        <v>30399999</v>
      </c>
      <c r="E33" t="s">
        <v>736</v>
      </c>
      <c r="F33" s="9" t="s">
        <v>38</v>
      </c>
      <c r="G33" s="9">
        <v>68</v>
      </c>
      <c r="H33" t="s">
        <v>109</v>
      </c>
      <c r="I33">
        <v>23.4</v>
      </c>
      <c r="J33" t="s">
        <v>371</v>
      </c>
      <c r="K33" s="221">
        <v>5.74</v>
      </c>
      <c r="L33" s="253" t="s">
        <v>140</v>
      </c>
      <c r="M33" s="221">
        <v>21502</v>
      </c>
      <c r="N33" s="253" t="s">
        <v>566</v>
      </c>
      <c r="O33" s="9">
        <v>0</v>
      </c>
      <c r="P33" s="9">
        <v>0</v>
      </c>
      <c r="Q33" s="9" t="s">
        <v>103</v>
      </c>
      <c r="R33" s="9" t="s">
        <v>103</v>
      </c>
      <c r="S33" s="9" t="s">
        <v>103</v>
      </c>
      <c r="T33" s="9" t="s">
        <v>103</v>
      </c>
      <c r="U33" s="9" t="s">
        <v>103</v>
      </c>
      <c r="V33" s="9" t="s">
        <v>103</v>
      </c>
      <c r="W33" s="254">
        <f t="shared" si="1"/>
        <v>0.007019999999999999</v>
      </c>
      <c r="X33" s="9">
        <v>0</v>
      </c>
      <c r="Y33" s="9">
        <v>8</v>
      </c>
      <c r="Z33">
        <v>0.6</v>
      </c>
      <c r="AA33" t="s">
        <v>712</v>
      </c>
      <c r="AB33" t="s">
        <v>103</v>
      </c>
    </row>
    <row r="34" spans="1:28" ht="12.75">
      <c r="A34" s="9">
        <v>3</v>
      </c>
      <c r="B34">
        <v>3338</v>
      </c>
      <c r="C34">
        <v>18</v>
      </c>
      <c r="D34" s="9">
        <v>30399999</v>
      </c>
      <c r="E34" t="s">
        <v>737</v>
      </c>
      <c r="F34" s="9" t="s">
        <v>38</v>
      </c>
      <c r="G34" s="9">
        <v>68</v>
      </c>
      <c r="H34" t="s">
        <v>109</v>
      </c>
      <c r="I34">
        <v>23.4</v>
      </c>
      <c r="J34" t="s">
        <v>371</v>
      </c>
      <c r="K34" s="221">
        <v>5.74</v>
      </c>
      <c r="L34" s="253" t="s">
        <v>140</v>
      </c>
      <c r="M34" s="221">
        <v>21502</v>
      </c>
      <c r="N34" s="253" t="s">
        <v>566</v>
      </c>
      <c r="O34" s="9">
        <v>0</v>
      </c>
      <c r="P34" s="9">
        <v>0</v>
      </c>
      <c r="Q34" s="9" t="s">
        <v>103</v>
      </c>
      <c r="R34" s="9" t="s">
        <v>103</v>
      </c>
      <c r="S34" s="9" t="s">
        <v>103</v>
      </c>
      <c r="T34" s="9" t="s">
        <v>103</v>
      </c>
      <c r="U34" s="9" t="s">
        <v>103</v>
      </c>
      <c r="V34" s="9" t="s">
        <v>103</v>
      </c>
      <c r="W34" s="254">
        <f t="shared" si="1"/>
        <v>0.007019999999999999</v>
      </c>
      <c r="X34" s="9">
        <v>0</v>
      </c>
      <c r="Y34" s="9">
        <v>8</v>
      </c>
      <c r="Z34">
        <v>0.6</v>
      </c>
      <c r="AA34" t="s">
        <v>712</v>
      </c>
      <c r="AB34" t="s">
        <v>103</v>
      </c>
    </row>
    <row r="35" spans="1:28" ht="12.75">
      <c r="A35" s="9">
        <v>3</v>
      </c>
      <c r="B35">
        <v>3339</v>
      </c>
      <c r="C35">
        <v>19</v>
      </c>
      <c r="D35" s="9">
        <v>30399999</v>
      </c>
      <c r="E35" t="s">
        <v>738</v>
      </c>
      <c r="F35" s="9" t="s">
        <v>38</v>
      </c>
      <c r="G35" s="9">
        <v>69</v>
      </c>
      <c r="H35" t="s">
        <v>109</v>
      </c>
      <c r="I35">
        <v>23.4</v>
      </c>
      <c r="J35" t="s">
        <v>371</v>
      </c>
      <c r="K35" s="221">
        <v>5.74</v>
      </c>
      <c r="L35" s="253" t="s">
        <v>140</v>
      </c>
      <c r="M35" s="221">
        <v>21502</v>
      </c>
      <c r="N35" s="253" t="s">
        <v>566</v>
      </c>
      <c r="O35" s="9">
        <v>0</v>
      </c>
      <c r="P35" s="9">
        <v>0</v>
      </c>
      <c r="Q35" s="9" t="s">
        <v>103</v>
      </c>
      <c r="R35" s="9" t="s">
        <v>103</v>
      </c>
      <c r="S35" s="9" t="s">
        <v>103</v>
      </c>
      <c r="T35" s="9" t="s">
        <v>103</v>
      </c>
      <c r="U35" s="9" t="s">
        <v>103</v>
      </c>
      <c r="V35" s="9" t="s">
        <v>103</v>
      </c>
      <c r="W35" s="254">
        <f t="shared" si="1"/>
        <v>0.007019999999999999</v>
      </c>
      <c r="X35" s="9">
        <v>0</v>
      </c>
      <c r="Y35" s="9">
        <v>8</v>
      </c>
      <c r="Z35">
        <v>0.6</v>
      </c>
      <c r="AA35" t="s">
        <v>712</v>
      </c>
      <c r="AB35" t="s">
        <v>103</v>
      </c>
    </row>
    <row r="36" spans="1:28" ht="12.75">
      <c r="A36" s="9">
        <v>3</v>
      </c>
      <c r="B36">
        <v>3340</v>
      </c>
      <c r="C36">
        <v>20</v>
      </c>
      <c r="D36" s="9">
        <v>30399999</v>
      </c>
      <c r="E36" t="s">
        <v>739</v>
      </c>
      <c r="F36" s="9" t="s">
        <v>38</v>
      </c>
      <c r="G36" s="9">
        <v>69</v>
      </c>
      <c r="H36" t="s">
        <v>109</v>
      </c>
      <c r="I36">
        <v>23.4</v>
      </c>
      <c r="J36" t="s">
        <v>371</v>
      </c>
      <c r="K36" s="221">
        <v>5.74</v>
      </c>
      <c r="L36" s="253" t="s">
        <v>140</v>
      </c>
      <c r="M36" s="221">
        <v>21502</v>
      </c>
      <c r="N36" s="253" t="s">
        <v>566</v>
      </c>
      <c r="O36" s="9">
        <v>0</v>
      </c>
      <c r="P36" s="9">
        <v>0</v>
      </c>
      <c r="Q36" s="9" t="s">
        <v>103</v>
      </c>
      <c r="R36" s="9" t="s">
        <v>103</v>
      </c>
      <c r="S36" s="9" t="s">
        <v>103</v>
      </c>
      <c r="T36" s="9" t="s">
        <v>103</v>
      </c>
      <c r="U36" s="9" t="s">
        <v>103</v>
      </c>
      <c r="V36" s="9" t="s">
        <v>103</v>
      </c>
      <c r="W36" s="254">
        <f t="shared" si="1"/>
        <v>0.007019999999999999</v>
      </c>
      <c r="X36" s="9">
        <v>0</v>
      </c>
      <c r="Y36" s="9">
        <v>8</v>
      </c>
      <c r="Z36">
        <v>0.6</v>
      </c>
      <c r="AA36" t="s">
        <v>712</v>
      </c>
      <c r="AB36" t="s">
        <v>103</v>
      </c>
    </row>
    <row r="37" spans="1:28" ht="12.75">
      <c r="A37" s="9">
        <v>3</v>
      </c>
      <c r="B37">
        <v>3341</v>
      </c>
      <c r="C37">
        <v>21</v>
      </c>
      <c r="D37" s="9">
        <v>30399999</v>
      </c>
      <c r="E37" t="s">
        <v>740</v>
      </c>
      <c r="F37" s="9" t="s">
        <v>38</v>
      </c>
      <c r="G37" s="9">
        <v>69</v>
      </c>
      <c r="H37" t="s">
        <v>109</v>
      </c>
      <c r="I37">
        <v>23.4</v>
      </c>
      <c r="J37" t="s">
        <v>371</v>
      </c>
      <c r="K37" s="221">
        <v>5.74</v>
      </c>
      <c r="L37" s="253" t="s">
        <v>140</v>
      </c>
      <c r="M37" s="221">
        <v>21502</v>
      </c>
      <c r="N37" s="253" t="s">
        <v>566</v>
      </c>
      <c r="O37" s="9">
        <v>0</v>
      </c>
      <c r="P37" s="9">
        <v>0</v>
      </c>
      <c r="Q37" s="9" t="s">
        <v>103</v>
      </c>
      <c r="R37" s="9" t="s">
        <v>103</v>
      </c>
      <c r="S37" s="9" t="s">
        <v>103</v>
      </c>
      <c r="T37" s="9" t="s">
        <v>103</v>
      </c>
      <c r="U37" s="9" t="s">
        <v>103</v>
      </c>
      <c r="V37" s="9" t="s">
        <v>103</v>
      </c>
      <c r="W37" s="254">
        <f t="shared" si="1"/>
        <v>0.007019999999999999</v>
      </c>
      <c r="X37" s="9">
        <v>0</v>
      </c>
      <c r="Y37" s="9">
        <v>8</v>
      </c>
      <c r="Z37">
        <v>0.6</v>
      </c>
      <c r="AA37" t="s">
        <v>712</v>
      </c>
      <c r="AB37" t="s">
        <v>103</v>
      </c>
    </row>
    <row r="38" spans="1:28" ht="12.75">
      <c r="A38" s="9">
        <v>3</v>
      </c>
      <c r="B38">
        <v>3342</v>
      </c>
      <c r="C38">
        <v>22</v>
      </c>
      <c r="D38" s="9">
        <v>20200102</v>
      </c>
      <c r="E38" t="s">
        <v>741</v>
      </c>
      <c r="F38" s="9" t="s">
        <v>38</v>
      </c>
      <c r="G38" s="9">
        <v>22</v>
      </c>
      <c r="H38" t="s">
        <v>430</v>
      </c>
      <c r="I38">
        <v>321</v>
      </c>
      <c r="J38" t="s">
        <v>69</v>
      </c>
      <c r="K38" s="221">
        <v>225</v>
      </c>
      <c r="L38" s="253" t="s">
        <v>403</v>
      </c>
      <c r="M38" s="221">
        <v>138000</v>
      </c>
      <c r="N38" s="253" t="s">
        <v>80</v>
      </c>
      <c r="O38" s="9">
        <v>0.5</v>
      </c>
      <c r="P38" s="9">
        <v>0.1</v>
      </c>
      <c r="Q38" s="9" t="s">
        <v>103</v>
      </c>
      <c r="R38" s="9" t="s">
        <v>103</v>
      </c>
      <c r="S38" s="9" t="s">
        <v>103</v>
      </c>
      <c r="T38" s="9" t="s">
        <v>103</v>
      </c>
      <c r="U38" s="9" t="s">
        <v>103</v>
      </c>
      <c r="V38" s="9" t="s">
        <v>103</v>
      </c>
      <c r="W38" s="254">
        <f aca="true" t="shared" si="2" ref="W38:W46">I38*K38*Z38/2000</f>
        <v>0.074030625</v>
      </c>
      <c r="X38" s="9">
        <v>0</v>
      </c>
      <c r="Y38" s="9">
        <v>8</v>
      </c>
      <c r="Z38">
        <v>0.00205</v>
      </c>
      <c r="AA38" t="s">
        <v>259</v>
      </c>
      <c r="AB38" t="s">
        <v>103</v>
      </c>
    </row>
    <row r="39" spans="1:28" ht="12.75">
      <c r="A39" s="9">
        <v>3</v>
      </c>
      <c r="B39">
        <v>3343</v>
      </c>
      <c r="C39">
        <v>23</v>
      </c>
      <c r="D39" s="9">
        <v>20200402</v>
      </c>
      <c r="E39" t="s">
        <v>742</v>
      </c>
      <c r="F39" s="9" t="s">
        <v>38</v>
      </c>
      <c r="G39" s="9">
        <v>23</v>
      </c>
      <c r="H39" t="s">
        <v>430</v>
      </c>
      <c r="I39">
        <v>781</v>
      </c>
      <c r="J39" t="s">
        <v>69</v>
      </c>
      <c r="K39" s="221">
        <v>725</v>
      </c>
      <c r="L39" s="253" t="s">
        <v>403</v>
      </c>
      <c r="M39" s="221">
        <v>138000</v>
      </c>
      <c r="N39" s="253" t="s">
        <v>80</v>
      </c>
      <c r="O39" s="9">
        <v>0.5</v>
      </c>
      <c r="P39" s="9">
        <v>0.1</v>
      </c>
      <c r="Q39" s="9" t="s">
        <v>103</v>
      </c>
      <c r="R39" s="9" t="s">
        <v>103</v>
      </c>
      <c r="S39" s="9" t="s">
        <v>103</v>
      </c>
      <c r="T39" s="9" t="s">
        <v>103</v>
      </c>
      <c r="U39" s="9" t="s">
        <v>103</v>
      </c>
      <c r="V39" s="9" t="s">
        <v>103</v>
      </c>
      <c r="W39" s="254">
        <f t="shared" si="2"/>
        <v>2.290380125</v>
      </c>
      <c r="X39" s="9">
        <v>0</v>
      </c>
      <c r="Y39" s="9">
        <v>8</v>
      </c>
      <c r="Z39">
        <v>0.00809</v>
      </c>
      <c r="AA39" t="s">
        <v>259</v>
      </c>
      <c r="AB39" t="s">
        <v>103</v>
      </c>
    </row>
    <row r="40" spans="1:28" ht="12.75">
      <c r="A40" s="9">
        <v>3</v>
      </c>
      <c r="B40">
        <v>3344</v>
      </c>
      <c r="C40">
        <v>24</v>
      </c>
      <c r="D40" s="9">
        <v>20200102</v>
      </c>
      <c r="E40" t="s">
        <v>743</v>
      </c>
      <c r="F40" s="9" t="s">
        <v>38</v>
      </c>
      <c r="G40" s="9">
        <v>24</v>
      </c>
      <c r="H40" t="s">
        <v>430</v>
      </c>
      <c r="I40">
        <v>328</v>
      </c>
      <c r="J40" t="s">
        <v>69</v>
      </c>
      <c r="K40" s="221">
        <v>60</v>
      </c>
      <c r="L40" s="253" t="s">
        <v>403</v>
      </c>
      <c r="M40" s="221">
        <v>138000</v>
      </c>
      <c r="N40" s="253" t="s">
        <v>80</v>
      </c>
      <c r="O40" s="9">
        <v>0.5</v>
      </c>
      <c r="P40" s="9">
        <v>0.1</v>
      </c>
      <c r="Q40" s="9" t="s">
        <v>103</v>
      </c>
      <c r="R40" s="9" t="s">
        <v>103</v>
      </c>
      <c r="S40" s="9" t="s">
        <v>103</v>
      </c>
      <c r="T40" s="9" t="s">
        <v>103</v>
      </c>
      <c r="U40" s="9" t="s">
        <v>103</v>
      </c>
      <c r="V40" s="9" t="s">
        <v>103</v>
      </c>
      <c r="W40" s="254">
        <f t="shared" si="2"/>
        <v>0.020172</v>
      </c>
      <c r="X40" s="9">
        <v>0</v>
      </c>
      <c r="Y40" s="9">
        <v>8</v>
      </c>
      <c r="Z40">
        <v>0.00205</v>
      </c>
      <c r="AA40" t="s">
        <v>259</v>
      </c>
      <c r="AB40" t="s">
        <v>103</v>
      </c>
    </row>
    <row r="41" spans="1:28" ht="12.75">
      <c r="A41" s="9">
        <v>3</v>
      </c>
      <c r="B41">
        <v>3353</v>
      </c>
      <c r="C41">
        <v>33</v>
      </c>
      <c r="D41" s="9">
        <v>20200102</v>
      </c>
      <c r="E41" t="s">
        <v>744</v>
      </c>
      <c r="F41" s="9" t="s">
        <v>38</v>
      </c>
      <c r="G41" s="9">
        <v>33</v>
      </c>
      <c r="H41" t="s">
        <v>430</v>
      </c>
      <c r="I41">
        <v>3776</v>
      </c>
      <c r="J41" t="s">
        <v>69</v>
      </c>
      <c r="K41" s="221">
        <v>215</v>
      </c>
      <c r="L41" s="253" t="s">
        <v>403</v>
      </c>
      <c r="M41" s="221">
        <v>138000</v>
      </c>
      <c r="N41" s="253" t="s">
        <v>80</v>
      </c>
      <c r="O41" s="9">
        <v>0.5</v>
      </c>
      <c r="P41" s="9">
        <v>0.1</v>
      </c>
      <c r="Q41" s="9" t="s">
        <v>103</v>
      </c>
      <c r="R41" s="9" t="s">
        <v>103</v>
      </c>
      <c r="S41" s="9" t="s">
        <v>103</v>
      </c>
      <c r="T41" s="9" t="s">
        <v>103</v>
      </c>
      <c r="U41" s="9" t="s">
        <v>103</v>
      </c>
      <c r="V41" s="9" t="s">
        <v>103</v>
      </c>
      <c r="W41" s="254">
        <f t="shared" si="2"/>
        <v>0.8321360000000001</v>
      </c>
      <c r="X41" s="9">
        <v>0</v>
      </c>
      <c r="Y41" s="9">
        <v>8</v>
      </c>
      <c r="Z41">
        <v>0.00205</v>
      </c>
      <c r="AA41" t="s">
        <v>259</v>
      </c>
      <c r="AB41" t="s">
        <v>103</v>
      </c>
    </row>
    <row r="42" spans="1:28" ht="12.75">
      <c r="A42" s="9">
        <v>3</v>
      </c>
      <c r="B42">
        <v>3354</v>
      </c>
      <c r="C42">
        <v>34</v>
      </c>
      <c r="D42" s="9">
        <v>20200102</v>
      </c>
      <c r="E42" t="s">
        <v>745</v>
      </c>
      <c r="F42" s="9" t="s">
        <v>38</v>
      </c>
      <c r="G42" s="9">
        <v>34</v>
      </c>
      <c r="H42" t="s">
        <v>430</v>
      </c>
      <c r="I42">
        <v>299</v>
      </c>
      <c r="J42" t="s">
        <v>69</v>
      </c>
      <c r="K42" s="221">
        <v>215</v>
      </c>
      <c r="L42" s="253" t="s">
        <v>403</v>
      </c>
      <c r="M42" s="221">
        <v>138000</v>
      </c>
      <c r="N42" s="253" t="s">
        <v>80</v>
      </c>
      <c r="O42" s="9">
        <v>0.5</v>
      </c>
      <c r="P42" s="9">
        <v>0.1</v>
      </c>
      <c r="Q42" s="9" t="s">
        <v>103</v>
      </c>
      <c r="R42" s="9" t="s">
        <v>103</v>
      </c>
      <c r="S42" s="9" t="s">
        <v>103</v>
      </c>
      <c r="T42" s="9" t="s">
        <v>103</v>
      </c>
      <c r="U42" s="9" t="s">
        <v>103</v>
      </c>
      <c r="V42" s="9" t="s">
        <v>103</v>
      </c>
      <c r="W42" s="254">
        <f t="shared" si="2"/>
        <v>0.65892125</v>
      </c>
      <c r="X42" s="9">
        <v>0</v>
      </c>
      <c r="Y42" s="9">
        <v>8</v>
      </c>
      <c r="Z42">
        <v>0.0205</v>
      </c>
      <c r="AA42" t="s">
        <v>259</v>
      </c>
      <c r="AB42" t="s">
        <v>103</v>
      </c>
    </row>
    <row r="43" spans="1:28" ht="12.75">
      <c r="A43" s="9">
        <v>3</v>
      </c>
      <c r="B43">
        <v>3357</v>
      </c>
      <c r="C43">
        <v>46</v>
      </c>
      <c r="D43" s="9">
        <v>20200102</v>
      </c>
      <c r="E43" t="s">
        <v>746</v>
      </c>
      <c r="F43" s="9" t="s">
        <v>38</v>
      </c>
      <c r="G43" s="9">
        <v>46</v>
      </c>
      <c r="H43" t="s">
        <v>430</v>
      </c>
      <c r="I43">
        <v>75</v>
      </c>
      <c r="J43" t="s">
        <v>69</v>
      </c>
      <c r="K43" s="221">
        <v>60</v>
      </c>
      <c r="L43" s="253" t="s">
        <v>403</v>
      </c>
      <c r="M43" s="221">
        <v>138000</v>
      </c>
      <c r="N43" s="253" t="s">
        <v>80</v>
      </c>
      <c r="O43" s="9">
        <v>0.5</v>
      </c>
      <c r="P43" s="9">
        <v>0.1</v>
      </c>
      <c r="Q43" s="9" t="s">
        <v>103</v>
      </c>
      <c r="R43" s="9" t="s">
        <v>103</v>
      </c>
      <c r="S43" s="9" t="s">
        <v>103</v>
      </c>
      <c r="T43" s="9" t="s">
        <v>103</v>
      </c>
      <c r="U43" s="9" t="s">
        <v>103</v>
      </c>
      <c r="V43" s="9" t="s">
        <v>103</v>
      </c>
      <c r="W43" s="254">
        <f t="shared" si="2"/>
        <v>0.0046125</v>
      </c>
      <c r="X43" s="9">
        <v>0</v>
      </c>
      <c r="Y43" s="9">
        <v>8</v>
      </c>
      <c r="Z43">
        <v>0.00205</v>
      </c>
      <c r="AA43" t="s">
        <v>259</v>
      </c>
      <c r="AB43" t="s">
        <v>103</v>
      </c>
    </row>
    <row r="44" spans="1:28" ht="12.75">
      <c r="A44" s="9">
        <v>3</v>
      </c>
      <c r="B44">
        <v>3359</v>
      </c>
      <c r="C44">
        <v>48</v>
      </c>
      <c r="D44" s="9">
        <v>20200402</v>
      </c>
      <c r="E44" t="s">
        <v>747</v>
      </c>
      <c r="F44" s="9" t="s">
        <v>38</v>
      </c>
      <c r="G44" s="9">
        <v>48</v>
      </c>
      <c r="H44" t="s">
        <v>430</v>
      </c>
      <c r="I44">
        <v>4</v>
      </c>
      <c r="J44" t="s">
        <v>69</v>
      </c>
      <c r="K44" s="221">
        <v>725</v>
      </c>
      <c r="L44" s="253" t="s">
        <v>403</v>
      </c>
      <c r="M44" s="221">
        <v>138000</v>
      </c>
      <c r="N44" s="253" t="s">
        <v>80</v>
      </c>
      <c r="O44" s="9">
        <v>0.5</v>
      </c>
      <c r="P44" s="9">
        <v>0.1</v>
      </c>
      <c r="Q44" s="9" t="s">
        <v>103</v>
      </c>
      <c r="R44" s="9" t="s">
        <v>103</v>
      </c>
      <c r="S44" s="9" t="s">
        <v>103</v>
      </c>
      <c r="T44" s="9" t="s">
        <v>103</v>
      </c>
      <c r="U44" s="9" t="s">
        <v>103</v>
      </c>
      <c r="V44" s="9" t="s">
        <v>103</v>
      </c>
      <c r="W44" s="254">
        <f t="shared" si="2"/>
        <v>0.0117305</v>
      </c>
      <c r="X44" s="9">
        <v>0</v>
      </c>
      <c r="Y44" s="9">
        <v>8</v>
      </c>
      <c r="Z44">
        <v>0.00809</v>
      </c>
      <c r="AA44" t="s">
        <v>259</v>
      </c>
      <c r="AB44" t="s">
        <v>103</v>
      </c>
    </row>
    <row r="45" spans="1:28" ht="12.75">
      <c r="A45" s="9">
        <v>3</v>
      </c>
      <c r="B45">
        <v>3361</v>
      </c>
      <c r="C45">
        <v>50</v>
      </c>
      <c r="D45" s="9">
        <v>20200102</v>
      </c>
      <c r="E45" t="s">
        <v>748</v>
      </c>
      <c r="F45" s="9" t="s">
        <v>38</v>
      </c>
      <c r="G45" s="9">
        <v>50</v>
      </c>
      <c r="H45" t="s">
        <v>430</v>
      </c>
      <c r="I45">
        <v>817</v>
      </c>
      <c r="J45" t="s">
        <v>69</v>
      </c>
      <c r="K45" s="221">
        <v>420</v>
      </c>
      <c r="L45" s="253" t="s">
        <v>403</v>
      </c>
      <c r="M45" s="221">
        <v>138000</v>
      </c>
      <c r="N45" s="253" t="s">
        <v>80</v>
      </c>
      <c r="O45" s="9">
        <v>0.5</v>
      </c>
      <c r="P45" s="9">
        <v>0.1</v>
      </c>
      <c r="Q45" s="9" t="s">
        <v>103</v>
      </c>
      <c r="R45" s="9" t="s">
        <v>103</v>
      </c>
      <c r="S45" s="9" t="s">
        <v>103</v>
      </c>
      <c r="T45" s="9" t="s">
        <v>103</v>
      </c>
      <c r="U45" s="9" t="s">
        <v>103</v>
      </c>
      <c r="V45" s="9" t="s">
        <v>103</v>
      </c>
      <c r="W45" s="254">
        <f t="shared" si="2"/>
        <v>0.3517185</v>
      </c>
      <c r="X45" s="9">
        <v>0</v>
      </c>
      <c r="Y45" s="9">
        <v>8</v>
      </c>
      <c r="Z45">
        <v>0.00205</v>
      </c>
      <c r="AA45" t="s">
        <v>259</v>
      </c>
      <c r="AB45" t="s">
        <v>103</v>
      </c>
    </row>
    <row r="46" spans="1:28" ht="12.75">
      <c r="A46" s="9">
        <v>3</v>
      </c>
      <c r="B46">
        <v>3362</v>
      </c>
      <c r="C46">
        <v>51</v>
      </c>
      <c r="D46" s="9">
        <v>20200102</v>
      </c>
      <c r="E46" t="s">
        <v>749</v>
      </c>
      <c r="F46" s="9" t="s">
        <v>38</v>
      </c>
      <c r="G46" s="9">
        <v>51</v>
      </c>
      <c r="H46" t="s">
        <v>430</v>
      </c>
      <c r="I46">
        <v>769</v>
      </c>
      <c r="J46" t="s">
        <v>69</v>
      </c>
      <c r="K46" s="221">
        <v>460</v>
      </c>
      <c r="L46" s="253" t="s">
        <v>403</v>
      </c>
      <c r="M46" s="221">
        <v>138000</v>
      </c>
      <c r="N46" s="253" t="s">
        <v>80</v>
      </c>
      <c r="O46" s="9">
        <v>0.5</v>
      </c>
      <c r="P46" s="9">
        <v>0.1</v>
      </c>
      <c r="Q46" s="9" t="s">
        <v>103</v>
      </c>
      <c r="R46" s="9" t="s">
        <v>103</v>
      </c>
      <c r="S46" s="9" t="s">
        <v>103</v>
      </c>
      <c r="T46" s="9" t="s">
        <v>103</v>
      </c>
      <c r="U46" s="9" t="s">
        <v>103</v>
      </c>
      <c r="V46" s="9" t="s">
        <v>103</v>
      </c>
      <c r="W46" s="254">
        <f t="shared" si="2"/>
        <v>0.3625835</v>
      </c>
      <c r="X46" s="9">
        <v>0</v>
      </c>
      <c r="Y46" s="9">
        <v>8</v>
      </c>
      <c r="Z46">
        <v>0.00205</v>
      </c>
      <c r="AA46" t="s">
        <v>259</v>
      </c>
      <c r="AB46" t="s">
        <v>103</v>
      </c>
    </row>
    <row r="47" spans="1:28" ht="12.75">
      <c r="A47" s="9">
        <v>3</v>
      </c>
      <c r="B47">
        <v>1417</v>
      </c>
      <c r="C47">
        <v>64</v>
      </c>
      <c r="D47" s="9">
        <v>30399999</v>
      </c>
      <c r="E47" t="s">
        <v>750</v>
      </c>
      <c r="F47" s="9" t="s">
        <v>38</v>
      </c>
      <c r="G47" s="9">
        <v>64</v>
      </c>
      <c r="H47" t="s">
        <v>109</v>
      </c>
      <c r="I47">
        <v>237926</v>
      </c>
      <c r="J47" t="s">
        <v>371</v>
      </c>
      <c r="K47" s="221" t="s">
        <v>103</v>
      </c>
      <c r="L47" s="253" t="s">
        <v>103</v>
      </c>
      <c r="M47" s="221">
        <v>21502</v>
      </c>
      <c r="N47" s="253" t="s">
        <v>566</v>
      </c>
      <c r="O47" s="9" t="s">
        <v>103</v>
      </c>
      <c r="P47" s="9" t="s">
        <v>103</v>
      </c>
      <c r="Q47" s="9" t="s">
        <v>103</v>
      </c>
      <c r="R47" s="9" t="s">
        <v>151</v>
      </c>
      <c r="S47" s="9">
        <v>2</v>
      </c>
      <c r="T47" s="9" t="s">
        <v>151</v>
      </c>
      <c r="U47" s="9">
        <v>2</v>
      </c>
      <c r="V47" s="9">
        <v>90</v>
      </c>
      <c r="W47" s="254">
        <f aca="true" t="shared" si="3" ref="W47:W53">I47*Z47/2000</f>
        <v>0.069950244</v>
      </c>
      <c r="X47" s="9">
        <v>0</v>
      </c>
      <c r="Y47" s="9">
        <v>8</v>
      </c>
      <c r="Z47">
        <v>0.000588</v>
      </c>
      <c r="AA47" t="s">
        <v>751</v>
      </c>
      <c r="AB47" t="s">
        <v>103</v>
      </c>
    </row>
    <row r="48" spans="1:28" ht="12.75">
      <c r="A48" s="9">
        <v>3</v>
      </c>
      <c r="B48">
        <v>1420</v>
      </c>
      <c r="C48">
        <v>67</v>
      </c>
      <c r="D48" s="9">
        <v>30399999</v>
      </c>
      <c r="E48" t="s">
        <v>752</v>
      </c>
      <c r="F48" s="9" t="s">
        <v>38</v>
      </c>
      <c r="G48" s="9">
        <v>67</v>
      </c>
      <c r="H48" t="s">
        <v>753</v>
      </c>
      <c r="I48">
        <v>15.775</v>
      </c>
      <c r="J48" t="s">
        <v>105</v>
      </c>
      <c r="K48" s="221"/>
      <c r="L48" s="253"/>
      <c r="M48" s="221" t="s">
        <v>103</v>
      </c>
      <c r="N48" s="253" t="s">
        <v>103</v>
      </c>
      <c r="O48" s="9" t="s">
        <v>103</v>
      </c>
      <c r="P48" s="9" t="s">
        <v>103</v>
      </c>
      <c r="Q48" s="9" t="s">
        <v>103</v>
      </c>
      <c r="R48" s="9" t="s">
        <v>103</v>
      </c>
      <c r="S48" s="9" t="s">
        <v>103</v>
      </c>
      <c r="T48" s="9" t="s">
        <v>103</v>
      </c>
      <c r="U48" s="9" t="s">
        <v>103</v>
      </c>
      <c r="V48" s="9" t="s">
        <v>103</v>
      </c>
      <c r="W48" s="254">
        <v>29.916</v>
      </c>
      <c r="X48" s="9">
        <v>0</v>
      </c>
      <c r="Y48" s="9">
        <v>2</v>
      </c>
      <c r="Z48" s="221" t="s">
        <v>103</v>
      </c>
      <c r="AA48" t="s">
        <v>103</v>
      </c>
      <c r="AB48" t="s">
        <v>103</v>
      </c>
    </row>
    <row r="49" spans="1:28" ht="12.75">
      <c r="A49" s="9">
        <v>3</v>
      </c>
      <c r="B49">
        <v>3363</v>
      </c>
      <c r="C49">
        <v>85</v>
      </c>
      <c r="D49" s="9">
        <v>20100201</v>
      </c>
      <c r="E49" t="s">
        <v>754</v>
      </c>
      <c r="F49" s="9" t="s">
        <v>38</v>
      </c>
      <c r="G49" s="9">
        <v>61</v>
      </c>
      <c r="H49" t="s">
        <v>109</v>
      </c>
      <c r="I49">
        <v>160.18</v>
      </c>
      <c r="J49" t="s">
        <v>371</v>
      </c>
      <c r="K49" s="221">
        <v>1968</v>
      </c>
      <c r="L49" s="253" t="s">
        <v>711</v>
      </c>
      <c r="M49" s="221">
        <v>21502</v>
      </c>
      <c r="N49" s="253" t="s">
        <v>566</v>
      </c>
      <c r="O49" s="9">
        <v>0</v>
      </c>
      <c r="P49" s="9">
        <v>0</v>
      </c>
      <c r="Q49" s="9" t="s">
        <v>103</v>
      </c>
      <c r="R49" s="9" t="s">
        <v>103</v>
      </c>
      <c r="S49" s="9" t="s">
        <v>103</v>
      </c>
      <c r="T49" s="9" t="s">
        <v>103</v>
      </c>
      <c r="U49" s="9" t="s">
        <v>103</v>
      </c>
      <c r="V49" s="9" t="s">
        <v>103</v>
      </c>
      <c r="W49" s="254">
        <f t="shared" si="3"/>
        <v>0.27775212</v>
      </c>
      <c r="X49" s="9">
        <v>0</v>
      </c>
      <c r="Y49" s="9">
        <v>8</v>
      </c>
      <c r="Z49">
        <v>3.468</v>
      </c>
      <c r="AA49" t="s">
        <v>712</v>
      </c>
      <c r="AB49" t="s">
        <v>103</v>
      </c>
    </row>
    <row r="50" spans="1:28" ht="12.75">
      <c r="A50" s="9">
        <v>3</v>
      </c>
      <c r="B50">
        <v>3364</v>
      </c>
      <c r="C50">
        <v>85</v>
      </c>
      <c r="D50" s="9">
        <v>20100201</v>
      </c>
      <c r="E50" t="s">
        <v>755</v>
      </c>
      <c r="F50" s="9" t="s">
        <v>38</v>
      </c>
      <c r="G50" s="9">
        <v>62</v>
      </c>
      <c r="H50" t="s">
        <v>109</v>
      </c>
      <c r="I50">
        <v>967.87</v>
      </c>
      <c r="J50" t="s">
        <v>371</v>
      </c>
      <c r="K50" s="221">
        <v>1968</v>
      </c>
      <c r="L50" s="253" t="s">
        <v>711</v>
      </c>
      <c r="M50" s="221">
        <v>21502</v>
      </c>
      <c r="N50" s="253" t="s">
        <v>566</v>
      </c>
      <c r="O50" s="9">
        <v>0</v>
      </c>
      <c r="P50" s="9">
        <v>0</v>
      </c>
      <c r="Q50" s="9" t="s">
        <v>103</v>
      </c>
      <c r="R50" s="9" t="s">
        <v>103</v>
      </c>
      <c r="S50" s="9" t="s">
        <v>103</v>
      </c>
      <c r="T50" s="9" t="s">
        <v>103</v>
      </c>
      <c r="U50" s="9" t="s">
        <v>103</v>
      </c>
      <c r="V50" s="9" t="s">
        <v>103</v>
      </c>
      <c r="W50" s="254">
        <f t="shared" si="3"/>
        <v>1.67828658</v>
      </c>
      <c r="X50" s="9">
        <v>0</v>
      </c>
      <c r="Y50" s="9">
        <v>8</v>
      </c>
      <c r="Z50">
        <v>3.468</v>
      </c>
      <c r="AA50" t="s">
        <v>712</v>
      </c>
      <c r="AB50" t="s">
        <v>103</v>
      </c>
    </row>
    <row r="51" spans="1:28" ht="12.75">
      <c r="A51" s="9">
        <v>3</v>
      </c>
      <c r="B51">
        <v>3364</v>
      </c>
      <c r="C51">
        <v>86</v>
      </c>
      <c r="D51" s="9">
        <v>20100201</v>
      </c>
      <c r="E51" t="s">
        <v>755</v>
      </c>
      <c r="F51" s="9" t="s">
        <v>38</v>
      </c>
      <c r="G51" s="9">
        <v>62</v>
      </c>
      <c r="H51" t="s">
        <v>430</v>
      </c>
      <c r="I51">
        <v>111.69</v>
      </c>
      <c r="J51" t="s">
        <v>756</v>
      </c>
      <c r="K51" s="221">
        <v>14440</v>
      </c>
      <c r="L51" s="253" t="s">
        <v>757</v>
      </c>
      <c r="M51" s="221">
        <v>19857</v>
      </c>
      <c r="N51" s="253" t="s">
        <v>566</v>
      </c>
      <c r="O51" s="9">
        <v>0</v>
      </c>
      <c r="P51" s="9">
        <v>0</v>
      </c>
      <c r="Q51" s="9" t="s">
        <v>103</v>
      </c>
      <c r="R51" s="9" t="s">
        <v>103</v>
      </c>
      <c r="S51" s="9" t="s">
        <v>103</v>
      </c>
      <c r="T51" s="9" t="s">
        <v>103</v>
      </c>
      <c r="U51" s="9" t="s">
        <v>103</v>
      </c>
      <c r="V51" s="9" t="s">
        <v>103</v>
      </c>
      <c r="W51" s="254">
        <f t="shared" si="3"/>
        <v>0.25616101499999994</v>
      </c>
      <c r="X51" s="9">
        <v>0</v>
      </c>
      <c r="Y51" s="9">
        <v>8</v>
      </c>
      <c r="Z51">
        <v>4.587</v>
      </c>
      <c r="AA51" t="s">
        <v>751</v>
      </c>
      <c r="AB51" t="s">
        <v>103</v>
      </c>
    </row>
    <row r="52" spans="1:28" ht="12.75">
      <c r="A52" s="9">
        <v>3</v>
      </c>
      <c r="B52">
        <v>3365</v>
      </c>
      <c r="C52">
        <v>87</v>
      </c>
      <c r="D52" s="9">
        <v>20100201</v>
      </c>
      <c r="E52" t="s">
        <v>758</v>
      </c>
      <c r="F52" s="9" t="s">
        <v>38</v>
      </c>
      <c r="G52" s="9">
        <v>63</v>
      </c>
      <c r="H52" t="s">
        <v>109</v>
      </c>
      <c r="I52">
        <v>1202.61</v>
      </c>
      <c r="J52" t="s">
        <v>371</v>
      </c>
      <c r="K52" s="221">
        <v>1968</v>
      </c>
      <c r="L52" s="253" t="s">
        <v>711</v>
      </c>
      <c r="M52" s="221">
        <v>21502</v>
      </c>
      <c r="N52" s="253" t="s">
        <v>566</v>
      </c>
      <c r="O52" s="9">
        <v>0</v>
      </c>
      <c r="P52" s="9">
        <v>0</v>
      </c>
      <c r="Q52" s="9" t="s">
        <v>103</v>
      </c>
      <c r="R52" s="9" t="s">
        <v>103</v>
      </c>
      <c r="S52" s="9" t="s">
        <v>103</v>
      </c>
      <c r="T52" s="9" t="s">
        <v>103</v>
      </c>
      <c r="U52" s="9" t="s">
        <v>103</v>
      </c>
      <c r="V52" s="9" t="s">
        <v>103</v>
      </c>
      <c r="W52" s="254">
        <f t="shared" si="3"/>
        <v>2.0853257399999996</v>
      </c>
      <c r="X52" s="9">
        <v>0</v>
      </c>
      <c r="Y52" s="9">
        <v>8</v>
      </c>
      <c r="Z52">
        <v>3.468</v>
      </c>
      <c r="AA52" t="s">
        <v>712</v>
      </c>
      <c r="AB52" t="s">
        <v>103</v>
      </c>
    </row>
    <row r="53" spans="1:28" ht="12.75">
      <c r="A53" s="9">
        <v>12</v>
      </c>
      <c r="B53">
        <v>11011</v>
      </c>
      <c r="C53">
        <v>1</v>
      </c>
      <c r="D53" s="9">
        <v>20200102</v>
      </c>
      <c r="E53" t="s">
        <v>759</v>
      </c>
      <c r="F53" s="9" t="s">
        <v>38</v>
      </c>
      <c r="G53" s="9" t="s">
        <v>103</v>
      </c>
      <c r="H53" t="s">
        <v>273</v>
      </c>
      <c r="I53">
        <v>3900</v>
      </c>
      <c r="J53" t="s">
        <v>69</v>
      </c>
      <c r="K53" s="221" t="s">
        <v>103</v>
      </c>
      <c r="L53" s="253" t="s">
        <v>103</v>
      </c>
      <c r="M53" s="221" t="s">
        <v>103</v>
      </c>
      <c r="N53" s="253" t="s">
        <v>103</v>
      </c>
      <c r="O53" s="9" t="s">
        <v>103</v>
      </c>
      <c r="P53" s="9" t="s">
        <v>103</v>
      </c>
      <c r="Q53" s="9" t="s">
        <v>103</v>
      </c>
      <c r="R53" s="9" t="s">
        <v>103</v>
      </c>
      <c r="S53" s="9" t="s">
        <v>103</v>
      </c>
      <c r="T53" s="9" t="s">
        <v>103</v>
      </c>
      <c r="U53" s="9" t="s">
        <v>103</v>
      </c>
      <c r="V53" s="9" t="s">
        <v>103</v>
      </c>
      <c r="W53" s="254">
        <f t="shared" si="3"/>
        <v>0.039</v>
      </c>
      <c r="X53" s="9">
        <v>0</v>
      </c>
      <c r="Y53" s="9">
        <v>2</v>
      </c>
      <c r="Z53">
        <v>0.02</v>
      </c>
      <c r="AA53" t="s">
        <v>236</v>
      </c>
      <c r="AB53" t="s">
        <v>103</v>
      </c>
    </row>
    <row r="54" spans="1:28" ht="12.75">
      <c r="A54" s="9">
        <v>12</v>
      </c>
      <c r="B54">
        <v>1044</v>
      </c>
      <c r="C54">
        <v>10</v>
      </c>
      <c r="D54" s="9">
        <v>20200102</v>
      </c>
      <c r="E54" t="s">
        <v>760</v>
      </c>
      <c r="F54" s="9" t="s">
        <v>38</v>
      </c>
      <c r="G54" s="9" t="s">
        <v>103</v>
      </c>
      <c r="H54" t="s">
        <v>430</v>
      </c>
      <c r="I54">
        <v>1749</v>
      </c>
      <c r="J54" t="s">
        <v>69</v>
      </c>
      <c r="K54" s="221" t="s">
        <v>103</v>
      </c>
      <c r="L54" s="253" t="s">
        <v>103</v>
      </c>
      <c r="M54" s="221" t="s">
        <v>103</v>
      </c>
      <c r="N54" s="253" t="s">
        <v>103</v>
      </c>
      <c r="O54" s="9" t="s">
        <v>103</v>
      </c>
      <c r="P54" s="9" t="s">
        <v>103</v>
      </c>
      <c r="Q54" s="9" t="s">
        <v>103</v>
      </c>
      <c r="R54" s="9" t="s">
        <v>103</v>
      </c>
      <c r="S54" s="9" t="s">
        <v>103</v>
      </c>
      <c r="T54" s="9" t="s">
        <v>103</v>
      </c>
      <c r="U54" s="9" t="s">
        <v>103</v>
      </c>
      <c r="V54" s="9" t="s">
        <v>103</v>
      </c>
      <c r="W54" s="254">
        <f aca="true" t="shared" si="4" ref="W54:W62">I54*Z54/2000</f>
        <v>0.078705</v>
      </c>
      <c r="X54" s="9">
        <v>0</v>
      </c>
      <c r="Y54" s="9">
        <v>2</v>
      </c>
      <c r="Z54">
        <v>0.09</v>
      </c>
      <c r="AA54" t="s">
        <v>236</v>
      </c>
      <c r="AB54" t="s">
        <v>103</v>
      </c>
    </row>
    <row r="55" spans="1:28" ht="12.75">
      <c r="A55" s="9">
        <v>12</v>
      </c>
      <c r="B55">
        <v>1045</v>
      </c>
      <c r="C55">
        <v>11</v>
      </c>
      <c r="D55" s="9">
        <v>20200102</v>
      </c>
      <c r="E55" t="s">
        <v>761</v>
      </c>
      <c r="F55" s="9" t="s">
        <v>38</v>
      </c>
      <c r="G55" s="9" t="s">
        <v>103</v>
      </c>
      <c r="H55" t="s">
        <v>430</v>
      </c>
      <c r="I55">
        <v>1042</v>
      </c>
      <c r="J55" t="s">
        <v>69</v>
      </c>
      <c r="K55" s="221" t="s">
        <v>103</v>
      </c>
      <c r="L55" s="253" t="s">
        <v>103</v>
      </c>
      <c r="M55" s="221" t="s">
        <v>103</v>
      </c>
      <c r="N55" s="253" t="s">
        <v>103</v>
      </c>
      <c r="O55" s="9" t="s">
        <v>103</v>
      </c>
      <c r="P55" s="9" t="s">
        <v>103</v>
      </c>
      <c r="Q55" s="9" t="s">
        <v>103</v>
      </c>
      <c r="R55" s="9" t="s">
        <v>103</v>
      </c>
      <c r="S55" s="9" t="s">
        <v>103</v>
      </c>
      <c r="T55" s="9" t="s">
        <v>103</v>
      </c>
      <c r="U55" s="9" t="s">
        <v>103</v>
      </c>
      <c r="V55" s="9" t="s">
        <v>103</v>
      </c>
      <c r="W55" s="254">
        <f t="shared" si="4"/>
        <v>0.04689</v>
      </c>
      <c r="X55" s="9">
        <v>0</v>
      </c>
      <c r="Y55" s="9">
        <v>2</v>
      </c>
      <c r="Z55">
        <v>0.09</v>
      </c>
      <c r="AA55" t="s">
        <v>236</v>
      </c>
      <c r="AB55" t="s">
        <v>103</v>
      </c>
    </row>
    <row r="56" spans="1:28" ht="12.75">
      <c r="A56" s="9">
        <v>12</v>
      </c>
      <c r="B56">
        <v>1042</v>
      </c>
      <c r="C56">
        <v>2</v>
      </c>
      <c r="D56" s="9">
        <v>20200102</v>
      </c>
      <c r="E56" t="s">
        <v>234</v>
      </c>
      <c r="F56" s="9" t="s">
        <v>38</v>
      </c>
      <c r="G56" s="9" t="s">
        <v>103</v>
      </c>
      <c r="H56" t="s">
        <v>430</v>
      </c>
      <c r="I56">
        <v>1300</v>
      </c>
      <c r="J56" t="s">
        <v>69</v>
      </c>
      <c r="K56" s="221" t="s">
        <v>103</v>
      </c>
      <c r="L56" s="253" t="s">
        <v>103</v>
      </c>
      <c r="M56" s="221" t="s">
        <v>103</v>
      </c>
      <c r="N56" s="253" t="s">
        <v>103</v>
      </c>
      <c r="O56" s="9" t="s">
        <v>103</v>
      </c>
      <c r="P56" s="9" t="s">
        <v>103</v>
      </c>
      <c r="Q56" s="9" t="s">
        <v>103</v>
      </c>
      <c r="R56" s="9" t="s">
        <v>103</v>
      </c>
      <c r="S56" s="9" t="s">
        <v>103</v>
      </c>
      <c r="T56" s="9" t="s">
        <v>103</v>
      </c>
      <c r="U56" s="9" t="s">
        <v>103</v>
      </c>
      <c r="V56" s="9" t="s">
        <v>103</v>
      </c>
      <c r="W56" s="254">
        <f t="shared" si="4"/>
        <v>0.117</v>
      </c>
      <c r="X56" s="9">
        <v>0</v>
      </c>
      <c r="Y56" s="9">
        <v>2</v>
      </c>
      <c r="Z56">
        <v>0.18</v>
      </c>
      <c r="AA56" t="s">
        <v>236</v>
      </c>
      <c r="AB56" t="s">
        <v>103</v>
      </c>
    </row>
    <row r="57" spans="1:28" ht="12.75">
      <c r="A57" s="9">
        <v>12</v>
      </c>
      <c r="B57">
        <v>1228</v>
      </c>
      <c r="C57">
        <v>3</v>
      </c>
      <c r="D57" s="9">
        <v>20200102</v>
      </c>
      <c r="E57" t="s">
        <v>762</v>
      </c>
      <c r="F57" s="9" t="s">
        <v>38</v>
      </c>
      <c r="G57" s="9" t="s">
        <v>103</v>
      </c>
      <c r="H57" t="s">
        <v>430</v>
      </c>
      <c r="I57">
        <v>11128</v>
      </c>
      <c r="J57" t="s">
        <v>69</v>
      </c>
      <c r="K57" s="221" t="s">
        <v>103</v>
      </c>
      <c r="L57" s="253" t="s">
        <v>103</v>
      </c>
      <c r="M57" s="221" t="s">
        <v>103</v>
      </c>
      <c r="N57" s="253" t="s">
        <v>103</v>
      </c>
      <c r="O57" s="9" t="s">
        <v>103</v>
      </c>
      <c r="P57" s="9" t="s">
        <v>103</v>
      </c>
      <c r="Q57" s="9" t="s">
        <v>103</v>
      </c>
      <c r="R57" s="9" t="s">
        <v>103</v>
      </c>
      <c r="S57" s="9" t="s">
        <v>103</v>
      </c>
      <c r="T57" s="9" t="s">
        <v>103</v>
      </c>
      <c r="U57" s="9" t="s">
        <v>103</v>
      </c>
      <c r="V57" s="9" t="s">
        <v>103</v>
      </c>
      <c r="W57" s="254">
        <f t="shared" si="4"/>
        <v>0.77896</v>
      </c>
      <c r="X57" s="9">
        <v>0</v>
      </c>
      <c r="Y57" s="9">
        <v>2</v>
      </c>
      <c r="Z57">
        <v>0.14</v>
      </c>
      <c r="AA57" t="s">
        <v>236</v>
      </c>
      <c r="AB57" t="s">
        <v>103</v>
      </c>
    </row>
    <row r="58" spans="1:28" ht="12.75">
      <c r="A58" s="9">
        <v>12</v>
      </c>
      <c r="B58">
        <v>1229</v>
      </c>
      <c r="C58">
        <v>4</v>
      </c>
      <c r="D58" s="9">
        <v>20200102</v>
      </c>
      <c r="E58" t="s">
        <v>763</v>
      </c>
      <c r="F58" s="9" t="s">
        <v>38</v>
      </c>
      <c r="G58" s="9" t="s">
        <v>103</v>
      </c>
      <c r="H58" t="s">
        <v>430</v>
      </c>
      <c r="I58">
        <v>414</v>
      </c>
      <c r="J58" t="s">
        <v>69</v>
      </c>
      <c r="K58" s="221" t="s">
        <v>103</v>
      </c>
      <c r="L58" s="253" t="s">
        <v>103</v>
      </c>
      <c r="M58" s="221" t="s">
        <v>103</v>
      </c>
      <c r="N58" s="253" t="s">
        <v>103</v>
      </c>
      <c r="O58" s="9" t="s">
        <v>103</v>
      </c>
      <c r="P58" s="9" t="s">
        <v>103</v>
      </c>
      <c r="Q58" s="9" t="s">
        <v>103</v>
      </c>
      <c r="R58" s="9" t="s">
        <v>103</v>
      </c>
      <c r="S58" s="9" t="s">
        <v>103</v>
      </c>
      <c r="T58" s="9" t="s">
        <v>103</v>
      </c>
      <c r="U58" s="9" t="s">
        <v>103</v>
      </c>
      <c r="V58" s="9" t="s">
        <v>103</v>
      </c>
      <c r="W58" s="254">
        <f t="shared" si="4"/>
        <v>0.09315000000000001</v>
      </c>
      <c r="X58" s="9">
        <v>0</v>
      </c>
      <c r="Y58" s="9">
        <v>2</v>
      </c>
      <c r="Z58">
        <v>0.45</v>
      </c>
      <c r="AA58" t="s">
        <v>236</v>
      </c>
      <c r="AB58" t="s">
        <v>103</v>
      </c>
    </row>
    <row r="59" spans="1:28" ht="12.75">
      <c r="A59" s="9">
        <v>12</v>
      </c>
      <c r="B59">
        <v>1230</v>
      </c>
      <c r="C59">
        <v>5</v>
      </c>
      <c r="D59" s="9">
        <v>20200102</v>
      </c>
      <c r="E59" t="s">
        <v>764</v>
      </c>
      <c r="F59" s="9" t="s">
        <v>38</v>
      </c>
      <c r="G59" s="9" t="s">
        <v>103</v>
      </c>
      <c r="H59" t="s">
        <v>430</v>
      </c>
      <c r="I59">
        <v>12740</v>
      </c>
      <c r="J59" t="s">
        <v>69</v>
      </c>
      <c r="K59" s="221" t="s">
        <v>103</v>
      </c>
      <c r="L59" s="253" t="s">
        <v>103</v>
      </c>
      <c r="M59" s="221" t="s">
        <v>103</v>
      </c>
      <c r="N59" s="253" t="s">
        <v>103</v>
      </c>
      <c r="O59" s="9" t="s">
        <v>103</v>
      </c>
      <c r="P59" s="9" t="s">
        <v>103</v>
      </c>
      <c r="Q59" s="9" t="s">
        <v>103</v>
      </c>
      <c r="R59" s="9" t="s">
        <v>103</v>
      </c>
      <c r="S59" s="9" t="s">
        <v>103</v>
      </c>
      <c r="T59" s="9" t="s">
        <v>103</v>
      </c>
      <c r="U59" s="9" t="s">
        <v>103</v>
      </c>
      <c r="V59" s="9" t="s">
        <v>103</v>
      </c>
      <c r="W59" s="254">
        <f t="shared" si="4"/>
        <v>0.8918</v>
      </c>
      <c r="X59" s="9">
        <v>0</v>
      </c>
      <c r="Y59" s="9">
        <v>2</v>
      </c>
      <c r="Z59">
        <v>0.14</v>
      </c>
      <c r="AA59" t="s">
        <v>236</v>
      </c>
      <c r="AB59" t="s">
        <v>103</v>
      </c>
    </row>
    <row r="60" spans="1:28" ht="12.75">
      <c r="A60" s="9">
        <v>12</v>
      </c>
      <c r="B60">
        <v>1046</v>
      </c>
      <c r="C60">
        <v>6</v>
      </c>
      <c r="D60" s="9">
        <v>20200102</v>
      </c>
      <c r="E60" t="s">
        <v>765</v>
      </c>
      <c r="F60" s="9" t="s">
        <v>38</v>
      </c>
      <c r="G60" s="9" t="s">
        <v>103</v>
      </c>
      <c r="H60" t="s">
        <v>430</v>
      </c>
      <c r="I60">
        <v>2340</v>
      </c>
      <c r="J60" t="s">
        <v>69</v>
      </c>
      <c r="K60" s="221" t="s">
        <v>103</v>
      </c>
      <c r="L60" s="253" t="s">
        <v>103</v>
      </c>
      <c r="M60" s="221" t="s">
        <v>103</v>
      </c>
      <c r="N60" s="253" t="s">
        <v>103</v>
      </c>
      <c r="O60" s="9" t="s">
        <v>103</v>
      </c>
      <c r="P60" s="9" t="s">
        <v>103</v>
      </c>
      <c r="Q60" s="9" t="s">
        <v>103</v>
      </c>
      <c r="R60" s="9" t="s">
        <v>103</v>
      </c>
      <c r="S60" s="9" t="s">
        <v>103</v>
      </c>
      <c r="T60" s="9" t="s">
        <v>103</v>
      </c>
      <c r="U60" s="9" t="s">
        <v>103</v>
      </c>
      <c r="V60" s="9" t="s">
        <v>103</v>
      </c>
      <c r="W60" s="254">
        <f t="shared" si="4"/>
        <v>0.5265</v>
      </c>
      <c r="X60" s="9">
        <v>0</v>
      </c>
      <c r="Y60" s="9">
        <v>2</v>
      </c>
      <c r="Z60">
        <v>0.45</v>
      </c>
      <c r="AA60" t="s">
        <v>236</v>
      </c>
      <c r="AB60" t="s">
        <v>103</v>
      </c>
    </row>
    <row r="61" spans="1:28" ht="12.75">
      <c r="A61" s="9">
        <v>12</v>
      </c>
      <c r="B61">
        <v>1047</v>
      </c>
      <c r="C61">
        <v>7</v>
      </c>
      <c r="D61" s="9">
        <v>20200102</v>
      </c>
      <c r="E61" t="s">
        <v>766</v>
      </c>
      <c r="F61" s="9" t="s">
        <v>38</v>
      </c>
      <c r="G61" s="9" t="s">
        <v>103</v>
      </c>
      <c r="H61" t="s">
        <v>430</v>
      </c>
      <c r="I61">
        <v>3152</v>
      </c>
      <c r="J61" t="s">
        <v>69</v>
      </c>
      <c r="K61" s="221" t="s">
        <v>103</v>
      </c>
      <c r="L61" s="253" t="s">
        <v>103</v>
      </c>
      <c r="M61" s="221" t="s">
        <v>103</v>
      </c>
      <c r="N61" s="253" t="s">
        <v>103</v>
      </c>
      <c r="O61" s="9" t="s">
        <v>103</v>
      </c>
      <c r="P61" s="9" t="s">
        <v>103</v>
      </c>
      <c r="Q61" s="9" t="s">
        <v>103</v>
      </c>
      <c r="R61" s="9" t="s">
        <v>103</v>
      </c>
      <c r="S61" s="9" t="s">
        <v>103</v>
      </c>
      <c r="T61" s="9" t="s">
        <v>103</v>
      </c>
      <c r="U61" s="9" t="s">
        <v>103</v>
      </c>
      <c r="V61" s="9" t="s">
        <v>103</v>
      </c>
      <c r="W61" s="254">
        <f t="shared" si="4"/>
        <v>0.72496</v>
      </c>
      <c r="X61" s="9">
        <v>0</v>
      </c>
      <c r="Y61" s="9">
        <v>2</v>
      </c>
      <c r="Z61">
        <v>0.46</v>
      </c>
      <c r="AA61" t="s">
        <v>236</v>
      </c>
      <c r="AB61" t="s">
        <v>103</v>
      </c>
    </row>
    <row r="62" spans="1:28" ht="12.75">
      <c r="A62" s="9">
        <v>12</v>
      </c>
      <c r="B62">
        <v>171697</v>
      </c>
      <c r="C62">
        <v>13</v>
      </c>
      <c r="D62" s="9">
        <v>20200102</v>
      </c>
      <c r="E62" t="s">
        <v>767</v>
      </c>
      <c r="F62" s="9" t="s">
        <v>38</v>
      </c>
      <c r="G62" s="9" t="s">
        <v>103</v>
      </c>
      <c r="H62" t="s">
        <v>273</v>
      </c>
      <c r="I62">
        <v>5720</v>
      </c>
      <c r="J62" t="s">
        <v>69</v>
      </c>
      <c r="K62" s="221" t="s">
        <v>103</v>
      </c>
      <c r="L62" s="253" t="s">
        <v>103</v>
      </c>
      <c r="M62" s="221" t="s">
        <v>103</v>
      </c>
      <c r="N62" s="253" t="s">
        <v>103</v>
      </c>
      <c r="O62" s="9" t="s">
        <v>103</v>
      </c>
      <c r="P62" s="9" t="s">
        <v>103</v>
      </c>
      <c r="Q62" s="9" t="s">
        <v>103</v>
      </c>
      <c r="R62" s="9" t="s">
        <v>103</v>
      </c>
      <c r="S62" s="9" t="s">
        <v>103</v>
      </c>
      <c r="T62" s="9" t="s">
        <v>103</v>
      </c>
      <c r="U62" s="9" t="s">
        <v>103</v>
      </c>
      <c r="V62" s="9" t="s">
        <v>103</v>
      </c>
      <c r="W62" s="254">
        <f t="shared" si="4"/>
        <v>0.0572</v>
      </c>
      <c r="X62" s="9">
        <v>0</v>
      </c>
      <c r="Y62" s="9">
        <v>2</v>
      </c>
      <c r="Z62">
        <v>0.02</v>
      </c>
      <c r="AA62" t="s">
        <v>236</v>
      </c>
      <c r="AB62" t="s">
        <v>103</v>
      </c>
    </row>
    <row r="64" spans="22:23" ht="12.75">
      <c r="V64" t="s">
        <v>124</v>
      </c>
      <c r="W64" s="254">
        <f>SUM(W9:W62)</f>
        <v>49.420134344</v>
      </c>
    </row>
    <row r="65" spans="1:23" ht="12.75">
      <c r="A65" s="96" t="s">
        <v>125</v>
      </c>
      <c r="W65" s="254"/>
    </row>
    <row r="66" ht="12.75">
      <c r="A66" s="3" t="s">
        <v>126</v>
      </c>
    </row>
    <row r="67" ht="12.75">
      <c r="A67" t="s">
        <v>127</v>
      </c>
    </row>
    <row r="68" ht="12.75">
      <c r="A68" t="s">
        <v>128</v>
      </c>
    </row>
    <row r="69" ht="12.75">
      <c r="A69" t="s">
        <v>222</v>
      </c>
    </row>
    <row r="70" ht="12.75">
      <c r="A70" t="s">
        <v>768</v>
      </c>
    </row>
    <row r="71" ht="12.75">
      <c r="A71" t="s">
        <v>769</v>
      </c>
    </row>
    <row r="72" ht="12.75">
      <c r="A72" t="s">
        <v>770</v>
      </c>
    </row>
    <row r="73" ht="12.75">
      <c r="A73" t="s">
        <v>771</v>
      </c>
    </row>
  </sheetData>
  <mergeCells count="23">
    <mergeCell ref="AB6:AB8"/>
    <mergeCell ref="Q7:Q8"/>
    <mergeCell ref="R7:R8"/>
    <mergeCell ref="S7:S8"/>
    <mergeCell ref="U7:U8"/>
    <mergeCell ref="T7:T8"/>
    <mergeCell ref="R6:S6"/>
    <mergeCell ref="T6:U6"/>
    <mergeCell ref="V6:V8"/>
    <mergeCell ref="W6:W8"/>
    <mergeCell ref="X6:X8"/>
    <mergeCell ref="Y6:Y8"/>
    <mergeCell ref="Z6:Z8"/>
    <mergeCell ref="AA6:AA8"/>
    <mergeCell ref="M7:P7"/>
    <mergeCell ref="F7:F8"/>
    <mergeCell ref="G7:G8"/>
    <mergeCell ref="H7:H8"/>
    <mergeCell ref="I7:L7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N41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8.00390625" style="0" customWidth="1"/>
    <col min="3" max="3" width="7.28125" style="0" customWidth="1"/>
    <col min="5" max="5" width="33.8515625" style="0" customWidth="1"/>
    <col min="6" max="6" width="8.140625" style="0" customWidth="1"/>
    <col min="7" max="7" width="10.57421875" style="0" customWidth="1"/>
    <col min="8" max="8" width="15.7109375" style="0" customWidth="1"/>
    <col min="10" max="10" width="10.00390625" style="0" customWidth="1"/>
    <col min="11" max="11" width="7.8515625" style="0" customWidth="1"/>
    <col min="12" max="12" width="6.28125" style="0" customWidth="1"/>
    <col min="13" max="13" width="8.00390625" style="0" customWidth="1"/>
    <col min="14" max="14" width="7.8515625" style="0" customWidth="1"/>
    <col min="15" max="15" width="7.28125" style="0" customWidth="1"/>
    <col min="16" max="16" width="6.00390625" style="0" customWidth="1"/>
    <col min="18" max="18" width="16.140625" style="0" customWidth="1"/>
    <col min="20" max="20" width="18.421875" style="0" customWidth="1"/>
    <col min="22" max="22" width="9.8515625" style="0" customWidth="1"/>
    <col min="23" max="23" width="10.00390625" style="200" customWidth="1"/>
    <col min="24" max="24" width="11.7109375" style="0" customWidth="1"/>
    <col min="27" max="27" width="11.140625" style="0" customWidth="1"/>
    <col min="28" max="28" width="22.421875" style="0" customWidth="1"/>
  </cols>
  <sheetData>
    <row r="1" spans="1:5" ht="15.75">
      <c r="A1" s="59" t="s">
        <v>229</v>
      </c>
      <c r="B1" s="59"/>
      <c r="C1" s="1" t="s">
        <v>772</v>
      </c>
      <c r="E1" s="4" t="s">
        <v>1</v>
      </c>
    </row>
    <row r="2" spans="1:19" ht="15">
      <c r="A2" s="59"/>
      <c r="B2" s="59"/>
      <c r="E2" s="5" t="s">
        <v>95</v>
      </c>
      <c r="S2" t="s">
        <v>773</v>
      </c>
    </row>
    <row r="3" spans="1:20" ht="12.75">
      <c r="A3" s="59" t="s">
        <v>2</v>
      </c>
      <c r="B3" s="59" t="s">
        <v>3</v>
      </c>
      <c r="C3" s="1" t="s">
        <v>774</v>
      </c>
      <c r="T3" t="s">
        <v>775</v>
      </c>
    </row>
    <row r="4" spans="1:2" ht="12.75">
      <c r="A4" s="6">
        <v>10081</v>
      </c>
      <c r="B4" s="59"/>
    </row>
    <row r="5" ht="13.5" thickBot="1"/>
    <row r="6" spans="1:66" ht="16.5" customHeight="1">
      <c r="A6" s="514" t="s">
        <v>5</v>
      </c>
      <c r="B6" s="404" t="s">
        <v>6</v>
      </c>
      <c r="C6" s="399" t="s">
        <v>7</v>
      </c>
      <c r="D6" s="399" t="s">
        <v>8</v>
      </c>
      <c r="E6" s="399" t="s">
        <v>9</v>
      </c>
      <c r="F6" s="399" t="s">
        <v>10</v>
      </c>
      <c r="G6" s="399" t="s">
        <v>11</v>
      </c>
      <c r="H6" s="399" t="s">
        <v>12</v>
      </c>
      <c r="I6" s="426" t="s">
        <v>13</v>
      </c>
      <c r="J6" s="439"/>
      <c r="K6" s="439"/>
      <c r="L6" s="440"/>
      <c r="M6" s="418" t="s">
        <v>14</v>
      </c>
      <c r="N6" s="439"/>
      <c r="O6" s="439"/>
      <c r="P6" s="439"/>
      <c r="Q6" s="399" t="s">
        <v>15</v>
      </c>
      <c r="R6" s="426" t="s">
        <v>16</v>
      </c>
      <c r="S6" s="426"/>
      <c r="T6" s="426" t="s">
        <v>17</v>
      </c>
      <c r="U6" s="426"/>
      <c r="V6" s="399" t="s">
        <v>18</v>
      </c>
      <c r="W6" s="445" t="s">
        <v>99</v>
      </c>
      <c r="X6" s="431" t="s">
        <v>100</v>
      </c>
      <c r="Y6" s="404" t="s">
        <v>21</v>
      </c>
      <c r="Z6" s="399" t="s">
        <v>22</v>
      </c>
      <c r="AA6" s="399" t="s">
        <v>23</v>
      </c>
      <c r="AB6" s="431" t="s">
        <v>24</v>
      </c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</row>
    <row r="7" spans="1:66" s="9" customFormat="1" ht="24.75" customHeight="1">
      <c r="A7" s="515"/>
      <c r="B7" s="419"/>
      <c r="C7" s="429"/>
      <c r="D7" s="429"/>
      <c r="E7" s="429"/>
      <c r="F7" s="429"/>
      <c r="G7" s="429"/>
      <c r="H7" s="429"/>
      <c r="I7" s="429"/>
      <c r="J7" s="429"/>
      <c r="K7" s="429"/>
      <c r="L7" s="441"/>
      <c r="M7" s="419"/>
      <c r="N7" s="429"/>
      <c r="O7" s="429"/>
      <c r="P7" s="429"/>
      <c r="Q7" s="424"/>
      <c r="R7" s="63" t="s">
        <v>29</v>
      </c>
      <c r="S7" s="63" t="s">
        <v>30</v>
      </c>
      <c r="T7" s="63" t="s">
        <v>101</v>
      </c>
      <c r="U7" s="63" t="s">
        <v>30</v>
      </c>
      <c r="V7" s="63"/>
      <c r="W7" s="446"/>
      <c r="X7" s="432"/>
      <c r="Y7" s="437"/>
      <c r="Z7" s="63"/>
      <c r="AA7" s="424"/>
      <c r="AB7" s="432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</row>
    <row r="8" spans="1:66" ht="25.5" customHeight="1">
      <c r="A8" s="515"/>
      <c r="B8" s="419"/>
      <c r="C8" s="429"/>
      <c r="D8" s="429"/>
      <c r="E8" s="429"/>
      <c r="F8" s="429"/>
      <c r="G8" s="429"/>
      <c r="H8" s="429"/>
      <c r="I8" s="56" t="s">
        <v>32</v>
      </c>
      <c r="J8" s="56" t="s">
        <v>33</v>
      </c>
      <c r="K8" s="56" t="s">
        <v>34</v>
      </c>
      <c r="L8" s="109" t="s">
        <v>26</v>
      </c>
      <c r="M8" s="108" t="s">
        <v>25</v>
      </c>
      <c r="N8" s="56" t="s">
        <v>26</v>
      </c>
      <c r="O8" s="56" t="s">
        <v>27</v>
      </c>
      <c r="P8" s="56" t="s">
        <v>28</v>
      </c>
      <c r="Q8" s="424"/>
      <c r="R8" s="63"/>
      <c r="S8" s="63"/>
      <c r="T8" s="424"/>
      <c r="U8" s="63"/>
      <c r="V8" s="63"/>
      <c r="W8" s="446"/>
      <c r="X8" s="432"/>
      <c r="Y8" s="437"/>
      <c r="Z8" s="63"/>
      <c r="AA8" s="424"/>
      <c r="AB8" s="432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</row>
    <row r="9" spans="1:30" ht="12.75">
      <c r="A9" s="255" t="s">
        <v>35</v>
      </c>
      <c r="B9" s="256">
        <v>3974</v>
      </c>
      <c r="C9" s="1" t="s">
        <v>36</v>
      </c>
      <c r="D9" s="6">
        <v>10100212</v>
      </c>
      <c r="E9" s="1" t="s">
        <v>776</v>
      </c>
      <c r="F9" s="6" t="s">
        <v>38</v>
      </c>
      <c r="G9" s="6">
        <v>1001</v>
      </c>
      <c r="H9" s="1" t="s">
        <v>104</v>
      </c>
      <c r="I9" s="6">
        <v>217799</v>
      </c>
      <c r="J9" s="6" t="s">
        <v>777</v>
      </c>
      <c r="K9" s="6">
        <v>55.6</v>
      </c>
      <c r="L9" s="257" t="s">
        <v>49</v>
      </c>
      <c r="M9" s="256">
        <v>12359</v>
      </c>
      <c r="N9" s="6" t="s">
        <v>245</v>
      </c>
      <c r="O9" s="6">
        <v>0.43</v>
      </c>
      <c r="P9" s="6">
        <v>8.01</v>
      </c>
      <c r="Q9" s="1" t="s">
        <v>43</v>
      </c>
      <c r="R9" s="1"/>
      <c r="S9" s="1"/>
      <c r="T9" s="1"/>
      <c r="U9" s="1"/>
      <c r="V9" s="1"/>
      <c r="W9" s="258">
        <f>Z9*I9*2000*M9/1000000/2000</f>
        <v>1706.587151194</v>
      </c>
      <c r="X9" s="257">
        <v>0</v>
      </c>
      <c r="Y9" s="256">
        <v>10</v>
      </c>
      <c r="Z9" s="6">
        <v>0.634</v>
      </c>
      <c r="AA9" s="6" t="s">
        <v>778</v>
      </c>
      <c r="AB9" s="259" t="s">
        <v>779</v>
      </c>
      <c r="AC9" s="260"/>
      <c r="AD9" s="6"/>
    </row>
    <row r="10" spans="1:30" ht="12.75">
      <c r="A10" s="255" t="s">
        <v>35</v>
      </c>
      <c r="B10" s="256">
        <v>3976</v>
      </c>
      <c r="C10" s="1" t="s">
        <v>35</v>
      </c>
      <c r="D10" s="6">
        <v>10100212</v>
      </c>
      <c r="E10" s="1" t="s">
        <v>776</v>
      </c>
      <c r="F10" s="6" t="s">
        <v>38</v>
      </c>
      <c r="G10" s="6">
        <v>1002</v>
      </c>
      <c r="H10" s="1" t="s">
        <v>104</v>
      </c>
      <c r="I10" s="6">
        <v>404108</v>
      </c>
      <c r="J10" s="6" t="s">
        <v>777</v>
      </c>
      <c r="K10" s="6">
        <v>41.7</v>
      </c>
      <c r="L10" s="257" t="s">
        <v>49</v>
      </c>
      <c r="M10" s="256">
        <v>12348</v>
      </c>
      <c r="N10" s="6" t="s">
        <v>245</v>
      </c>
      <c r="O10" s="6">
        <v>0.43</v>
      </c>
      <c r="P10" s="6">
        <v>8.12</v>
      </c>
      <c r="Q10" s="1" t="s">
        <v>43</v>
      </c>
      <c r="R10" s="1"/>
      <c r="S10" s="1"/>
      <c r="T10" s="1"/>
      <c r="U10" s="1"/>
      <c r="V10" s="1"/>
      <c r="W10" s="258">
        <f>Z10*I10*2000*M10/2000/1000000</f>
        <v>3283.3710342719996</v>
      </c>
      <c r="X10" s="257">
        <v>0</v>
      </c>
      <c r="Y10" s="256">
        <v>10</v>
      </c>
      <c r="Z10" s="6">
        <v>0.658</v>
      </c>
      <c r="AA10" s="6" t="s">
        <v>778</v>
      </c>
      <c r="AB10" s="259" t="s">
        <v>779</v>
      </c>
      <c r="AC10" s="260"/>
      <c r="AD10" s="6"/>
    </row>
    <row r="11" spans="1:30" ht="12.75">
      <c r="A11" s="255" t="s">
        <v>35</v>
      </c>
      <c r="B11" s="256">
        <v>8910</v>
      </c>
      <c r="C11" s="1" t="s">
        <v>47</v>
      </c>
      <c r="D11" s="6">
        <v>10100501</v>
      </c>
      <c r="E11" s="1" t="s">
        <v>776</v>
      </c>
      <c r="F11" s="6" t="s">
        <v>38</v>
      </c>
      <c r="G11" s="6">
        <v>1001</v>
      </c>
      <c r="H11" s="1" t="s">
        <v>430</v>
      </c>
      <c r="I11" s="6">
        <v>37677</v>
      </c>
      <c r="J11" s="6" t="s">
        <v>780</v>
      </c>
      <c r="K11" s="6">
        <v>0</v>
      </c>
      <c r="L11" s="257">
        <v>0</v>
      </c>
      <c r="M11" s="256">
        <v>40000</v>
      </c>
      <c r="N11" s="6" t="s">
        <v>80</v>
      </c>
      <c r="O11" s="6">
        <v>0.05</v>
      </c>
      <c r="P11" s="6">
        <v>0</v>
      </c>
      <c r="Q11" s="1" t="s">
        <v>43</v>
      </c>
      <c r="R11" s="1"/>
      <c r="S11" s="1"/>
      <c r="T11" s="1"/>
      <c r="U11" s="1"/>
      <c r="V11" s="1"/>
      <c r="W11" s="258">
        <f>Z11*I11/1000/2000</f>
        <v>0.147882225</v>
      </c>
      <c r="X11" s="257">
        <v>0</v>
      </c>
      <c r="Y11" s="256">
        <v>3</v>
      </c>
      <c r="Z11" s="6">
        <v>7.85</v>
      </c>
      <c r="AA11" s="6" t="s">
        <v>781</v>
      </c>
      <c r="AB11" s="259"/>
      <c r="AC11" s="260"/>
      <c r="AD11" s="6"/>
    </row>
    <row r="12" spans="1:30" ht="12.75">
      <c r="A12" s="255" t="s">
        <v>35</v>
      </c>
      <c r="B12" s="256">
        <v>8911</v>
      </c>
      <c r="C12" s="1" t="s">
        <v>57</v>
      </c>
      <c r="D12" s="6">
        <v>10100501</v>
      </c>
      <c r="E12" s="1" t="s">
        <v>776</v>
      </c>
      <c r="F12" s="6" t="s">
        <v>38</v>
      </c>
      <c r="G12" s="6">
        <v>1002</v>
      </c>
      <c r="H12" s="1" t="s">
        <v>430</v>
      </c>
      <c r="I12" s="6">
        <v>16485</v>
      </c>
      <c r="J12" s="6" t="s">
        <v>780</v>
      </c>
      <c r="K12" s="6">
        <v>0</v>
      </c>
      <c r="L12" s="257">
        <v>0</v>
      </c>
      <c r="M12" s="256">
        <v>40000</v>
      </c>
      <c r="N12" s="6" t="s">
        <v>80</v>
      </c>
      <c r="O12" s="6">
        <v>0.05</v>
      </c>
      <c r="P12" s="6">
        <v>0</v>
      </c>
      <c r="Q12" s="1" t="s">
        <v>43</v>
      </c>
      <c r="R12" s="1"/>
      <c r="S12" s="1"/>
      <c r="T12" s="1"/>
      <c r="U12" s="1"/>
      <c r="V12" s="1"/>
      <c r="W12" s="258">
        <f>Z12*I12/1000/2000</f>
        <v>0.064703625</v>
      </c>
      <c r="X12" s="257">
        <v>0</v>
      </c>
      <c r="Y12" s="256">
        <v>3</v>
      </c>
      <c r="Z12" s="6">
        <v>7.85</v>
      </c>
      <c r="AA12" s="6" t="s">
        <v>781</v>
      </c>
      <c r="AB12" s="259" t="s">
        <v>782</v>
      </c>
      <c r="AC12" s="260"/>
      <c r="AD12" s="6"/>
    </row>
    <row r="13" spans="1:30" ht="12.75">
      <c r="A13" s="255" t="s">
        <v>233</v>
      </c>
      <c r="B13" s="256">
        <v>9138</v>
      </c>
      <c r="C13" s="1" t="s">
        <v>783</v>
      </c>
      <c r="D13" s="6">
        <v>30501039</v>
      </c>
      <c r="E13" s="1" t="s">
        <v>784</v>
      </c>
      <c r="F13" s="6" t="s">
        <v>38</v>
      </c>
      <c r="G13" s="6">
        <v>0</v>
      </c>
      <c r="H13" s="1" t="s">
        <v>430</v>
      </c>
      <c r="I13" s="6">
        <v>2080</v>
      </c>
      <c r="J13" s="6" t="s">
        <v>785</v>
      </c>
      <c r="K13" s="6">
        <v>0</v>
      </c>
      <c r="L13" s="257">
        <v>0</v>
      </c>
      <c r="M13" s="256">
        <v>0</v>
      </c>
      <c r="N13" s="6">
        <v>0</v>
      </c>
      <c r="O13" s="6">
        <v>0</v>
      </c>
      <c r="P13" s="6">
        <v>0</v>
      </c>
      <c r="Q13" s="1" t="s">
        <v>43</v>
      </c>
      <c r="R13" s="1"/>
      <c r="S13" s="1"/>
      <c r="T13" s="1"/>
      <c r="U13" s="1"/>
      <c r="V13" s="1"/>
      <c r="W13" s="258">
        <f>(Z13*I13/2000)</f>
        <v>0.468</v>
      </c>
      <c r="X13" s="257" t="s">
        <v>42</v>
      </c>
      <c r="Y13" s="256">
        <v>3</v>
      </c>
      <c r="Z13" s="6">
        <v>0.45</v>
      </c>
      <c r="AA13" s="6" t="s">
        <v>49</v>
      </c>
      <c r="AB13" s="259" t="s">
        <v>42</v>
      </c>
      <c r="AC13" s="260"/>
      <c r="AD13" s="6"/>
    </row>
    <row r="14" spans="1:30" ht="12.75">
      <c r="A14" s="255" t="s">
        <v>120</v>
      </c>
      <c r="B14" s="256">
        <v>13687</v>
      </c>
      <c r="C14" s="1" t="s">
        <v>233</v>
      </c>
      <c r="D14" s="6">
        <v>20200102</v>
      </c>
      <c r="E14" s="1" t="s">
        <v>786</v>
      </c>
      <c r="F14" s="6" t="s">
        <v>38</v>
      </c>
      <c r="G14" s="6">
        <v>0</v>
      </c>
      <c r="H14" s="1" t="s">
        <v>430</v>
      </c>
      <c r="I14" s="6">
        <v>15</v>
      </c>
      <c r="J14" s="6" t="s">
        <v>785</v>
      </c>
      <c r="K14" s="6">
        <v>250</v>
      </c>
      <c r="L14" s="257" t="s">
        <v>249</v>
      </c>
      <c r="M14" s="256">
        <v>140000</v>
      </c>
      <c r="N14" s="6" t="s">
        <v>787</v>
      </c>
      <c r="O14" s="6">
        <v>0.1</v>
      </c>
      <c r="P14" s="6">
        <v>0</v>
      </c>
      <c r="Q14" s="1" t="s">
        <v>43</v>
      </c>
      <c r="R14" s="1"/>
      <c r="S14" s="1"/>
      <c r="T14" s="1"/>
      <c r="U14" s="1"/>
      <c r="V14" s="1"/>
      <c r="W14" s="258">
        <f>Z14*K14*I14/2000</f>
        <v>0.0039375</v>
      </c>
      <c r="X14" s="257" t="s">
        <v>42</v>
      </c>
      <c r="Y14" s="256">
        <v>3</v>
      </c>
      <c r="Z14" s="6">
        <v>0.0021</v>
      </c>
      <c r="AA14" s="6" t="s">
        <v>259</v>
      </c>
      <c r="AB14" s="259" t="s">
        <v>788</v>
      </c>
      <c r="AC14" s="260"/>
      <c r="AD14" s="6"/>
    </row>
    <row r="15" spans="1:30" ht="13.5" thickBot="1">
      <c r="A15" s="261" t="s">
        <v>120</v>
      </c>
      <c r="B15" s="262">
        <v>13688</v>
      </c>
      <c r="C15" s="263" t="s">
        <v>789</v>
      </c>
      <c r="D15" s="264">
        <v>20200102</v>
      </c>
      <c r="E15" s="263" t="s">
        <v>790</v>
      </c>
      <c r="F15" s="264" t="s">
        <v>38</v>
      </c>
      <c r="G15" s="264">
        <v>0</v>
      </c>
      <c r="H15" s="263" t="s">
        <v>430</v>
      </c>
      <c r="I15" s="264">
        <v>18</v>
      </c>
      <c r="J15" s="264" t="s">
        <v>785</v>
      </c>
      <c r="K15" s="264">
        <v>250</v>
      </c>
      <c r="L15" s="265" t="s">
        <v>249</v>
      </c>
      <c r="M15" s="262">
        <v>140000</v>
      </c>
      <c r="N15" s="264" t="s">
        <v>787</v>
      </c>
      <c r="O15" s="264">
        <v>0.1</v>
      </c>
      <c r="P15" s="264">
        <v>0</v>
      </c>
      <c r="Q15" s="263" t="s">
        <v>43</v>
      </c>
      <c r="R15" s="263"/>
      <c r="S15" s="263"/>
      <c r="T15" s="263"/>
      <c r="U15" s="263"/>
      <c r="V15" s="263"/>
      <c r="W15" s="266">
        <f>Z15*I15*K15/2000</f>
        <v>0.004725</v>
      </c>
      <c r="X15" s="265" t="s">
        <v>42</v>
      </c>
      <c r="Y15" s="262">
        <v>3</v>
      </c>
      <c r="Z15" s="264">
        <v>0.0021</v>
      </c>
      <c r="AA15" s="264" t="s">
        <v>259</v>
      </c>
      <c r="AB15" s="267" t="s">
        <v>791</v>
      </c>
      <c r="AC15" s="260"/>
      <c r="AD15" s="6"/>
    </row>
    <row r="16" spans="22:23" ht="13.5" thickBot="1">
      <c r="V16" s="94" t="s">
        <v>86</v>
      </c>
      <c r="W16" s="218">
        <f>SUM(W9:W15)</f>
        <v>4990.647433815999</v>
      </c>
    </row>
    <row r="17" ht="13.5" thickTop="1">
      <c r="C17" s="59" t="s">
        <v>470</v>
      </c>
    </row>
    <row r="19" ht="12.75">
      <c r="C19">
        <v>3974</v>
      </c>
    </row>
    <row r="20" ht="12.75">
      <c r="D20" t="s">
        <v>792</v>
      </c>
    </row>
    <row r="21" ht="12.75">
      <c r="C21">
        <v>3976</v>
      </c>
    </row>
    <row r="22" ht="12.75">
      <c r="D22" t="s">
        <v>793</v>
      </c>
    </row>
    <row r="23" ht="12.75">
      <c r="C23">
        <v>8910</v>
      </c>
    </row>
    <row r="24" ht="12.75">
      <c r="D24" t="s">
        <v>794</v>
      </c>
    </row>
    <row r="25" ht="12.75">
      <c r="C25">
        <v>8911</v>
      </c>
    </row>
    <row r="26" ht="12.75">
      <c r="D26" t="s">
        <v>795</v>
      </c>
    </row>
    <row r="27" ht="12.75">
      <c r="C27">
        <v>9138</v>
      </c>
    </row>
    <row r="28" ht="12.75">
      <c r="D28" t="s">
        <v>796</v>
      </c>
    </row>
    <row r="29" ht="12.75">
      <c r="C29">
        <v>13687</v>
      </c>
    </row>
    <row r="30" ht="12.75">
      <c r="D30" t="s">
        <v>797</v>
      </c>
    </row>
    <row r="31" ht="12.75">
      <c r="C31">
        <v>13688</v>
      </c>
    </row>
    <row r="32" ht="12.75">
      <c r="D32" t="s">
        <v>798</v>
      </c>
    </row>
    <row r="34" ht="12.75">
      <c r="C34" t="s">
        <v>799</v>
      </c>
    </row>
    <row r="35" ht="12.75">
      <c r="D35" t="s">
        <v>800</v>
      </c>
    </row>
    <row r="36" ht="12.75">
      <c r="D36" t="s">
        <v>801</v>
      </c>
    </row>
    <row r="37" ht="12.75">
      <c r="D37" t="s">
        <v>802</v>
      </c>
    </row>
    <row r="38" ht="12.75">
      <c r="D38" t="s">
        <v>803</v>
      </c>
    </row>
    <row r="39" ht="12.75">
      <c r="D39" t="s">
        <v>804</v>
      </c>
    </row>
    <row r="40" ht="12.75">
      <c r="D40" t="s">
        <v>805</v>
      </c>
    </row>
    <row r="41" ht="12.75">
      <c r="D41" t="s">
        <v>806</v>
      </c>
    </row>
  </sheetData>
  <mergeCells count="24">
    <mergeCell ref="A6:A8"/>
    <mergeCell ref="B6:B8"/>
    <mergeCell ref="C6:C8"/>
    <mergeCell ref="D6:D8"/>
    <mergeCell ref="E6:E8"/>
    <mergeCell ref="F6:F8"/>
    <mergeCell ref="G6:G8"/>
    <mergeCell ref="H6:H8"/>
    <mergeCell ref="I6:L7"/>
    <mergeCell ref="M6:P7"/>
    <mergeCell ref="Q6:Q8"/>
    <mergeCell ref="R6:S6"/>
    <mergeCell ref="R7:R8"/>
    <mergeCell ref="S7:S8"/>
    <mergeCell ref="T6:U6"/>
    <mergeCell ref="V6:V8"/>
    <mergeCell ref="W6:W8"/>
    <mergeCell ref="X6:X8"/>
    <mergeCell ref="T7:T8"/>
    <mergeCell ref="U7:U8"/>
    <mergeCell ref="Y6:Y8"/>
    <mergeCell ref="Z6:Z8"/>
    <mergeCell ref="AA6:AA8"/>
    <mergeCell ref="AB6:AB8"/>
  </mergeCells>
  <printOptions horizontalCentered="1"/>
  <pageMargins left="0.3" right="0.32" top="1.7" bottom="1.66" header="0.5" footer="0.5"/>
  <pageSetup horizontalDpi="600" verticalDpi="600" orientation="landscape" pageOrder="overThenDown" r:id="rId1"/>
  <headerFooter alignWithMargins="0">
    <oddHeader>&amp;L
PacifiCorp
Site:  Carbon Power Plant
Site ID:  10081&amp;CRegional Haze
2000 Statewide SOx Sources</oddHeader>
    <oddFooter>&amp;R&amp;D
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N45"/>
  <sheetViews>
    <sheetView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6.140625" style="0" customWidth="1"/>
    <col min="3" max="3" width="7.00390625" style="0" customWidth="1"/>
    <col min="4" max="4" width="9.7109375" style="0" customWidth="1"/>
    <col min="5" max="5" width="38.28125" style="0" customWidth="1"/>
    <col min="6" max="6" width="5.7109375" style="0" customWidth="1"/>
    <col min="7" max="7" width="10.57421875" style="0" customWidth="1"/>
    <col min="8" max="8" width="15.421875" style="0" customWidth="1"/>
    <col min="9" max="9" width="8.421875" style="0" customWidth="1"/>
    <col min="10" max="10" width="12.57421875" style="0" customWidth="1"/>
    <col min="11" max="11" width="7.28125" style="0" customWidth="1"/>
    <col min="12" max="12" width="8.7109375" style="0" customWidth="1"/>
    <col min="13" max="13" width="8.421875" style="0" customWidth="1"/>
    <col min="15" max="15" width="7.00390625" style="0" customWidth="1"/>
    <col min="16" max="16" width="5.8515625" style="0" customWidth="1"/>
    <col min="18" max="18" width="10.7109375" style="0" customWidth="1"/>
    <col min="20" max="20" width="13.28125" style="0" customWidth="1"/>
    <col min="22" max="22" width="9.7109375" style="0" customWidth="1"/>
    <col min="23" max="23" width="10.57421875" style="0" customWidth="1"/>
    <col min="24" max="24" width="11.7109375" style="0" customWidth="1"/>
    <col min="25" max="25" width="8.421875" style="0" customWidth="1"/>
    <col min="27" max="27" width="12.421875" style="0" customWidth="1"/>
    <col min="28" max="28" width="19.7109375" style="0" customWidth="1"/>
  </cols>
  <sheetData>
    <row r="1" spans="1:5" ht="15.75">
      <c r="A1" s="59" t="s">
        <v>229</v>
      </c>
      <c r="B1" s="59"/>
      <c r="C1" s="268" t="s">
        <v>772</v>
      </c>
      <c r="E1" s="4" t="s">
        <v>1</v>
      </c>
    </row>
    <row r="2" spans="1:5" ht="15">
      <c r="A2" s="59"/>
      <c r="B2" s="59"/>
      <c r="E2" s="5" t="s">
        <v>95</v>
      </c>
    </row>
    <row r="3" spans="1:3" ht="12.75">
      <c r="A3" s="59" t="s">
        <v>2</v>
      </c>
      <c r="B3" s="59" t="s">
        <v>3</v>
      </c>
      <c r="C3" s="268" t="s">
        <v>807</v>
      </c>
    </row>
    <row r="4" spans="1:2" ht="12.75">
      <c r="A4" s="269">
        <v>10238</v>
      </c>
      <c r="B4" s="59"/>
    </row>
    <row r="5" ht="13.5" thickBot="1"/>
    <row r="6" spans="1:66" ht="16.5" customHeight="1">
      <c r="A6" s="401" t="s">
        <v>5</v>
      </c>
      <c r="B6" s="404" t="s">
        <v>6</v>
      </c>
      <c r="C6" s="399" t="s">
        <v>7</v>
      </c>
      <c r="D6" s="399" t="s">
        <v>8</v>
      </c>
      <c r="E6" s="399" t="s">
        <v>9</v>
      </c>
      <c r="F6" s="399" t="s">
        <v>10</v>
      </c>
      <c r="G6" s="399" t="s">
        <v>11</v>
      </c>
      <c r="H6" s="399" t="s">
        <v>12</v>
      </c>
      <c r="I6" s="426" t="s">
        <v>13</v>
      </c>
      <c r="J6" s="439"/>
      <c r="K6" s="439"/>
      <c r="L6" s="440"/>
      <c r="M6" s="418" t="s">
        <v>14</v>
      </c>
      <c r="N6" s="439"/>
      <c r="O6" s="439"/>
      <c r="P6" s="439"/>
      <c r="Q6" s="399" t="s">
        <v>15</v>
      </c>
      <c r="R6" s="426" t="s">
        <v>16</v>
      </c>
      <c r="S6" s="426"/>
      <c r="T6" s="426" t="s">
        <v>17</v>
      </c>
      <c r="U6" s="426"/>
      <c r="V6" s="399" t="s">
        <v>18</v>
      </c>
      <c r="W6" s="445" t="s">
        <v>99</v>
      </c>
      <c r="X6" s="399" t="s">
        <v>100</v>
      </c>
      <c r="Y6" s="431" t="s">
        <v>21</v>
      </c>
      <c r="Z6" s="517" t="s">
        <v>22</v>
      </c>
      <c r="AA6" s="404" t="s">
        <v>23</v>
      </c>
      <c r="AB6" s="431" t="s">
        <v>24</v>
      </c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</row>
    <row r="7" spans="1:66" s="9" customFormat="1" ht="24.75" customHeight="1">
      <c r="A7" s="427"/>
      <c r="B7" s="419"/>
      <c r="C7" s="429"/>
      <c r="D7" s="429"/>
      <c r="E7" s="429"/>
      <c r="F7" s="429"/>
      <c r="G7" s="429"/>
      <c r="H7" s="429"/>
      <c r="I7" s="429"/>
      <c r="J7" s="429"/>
      <c r="K7" s="429"/>
      <c r="L7" s="441"/>
      <c r="M7" s="419"/>
      <c r="N7" s="429"/>
      <c r="O7" s="429"/>
      <c r="P7" s="429"/>
      <c r="Q7" s="424"/>
      <c r="R7" s="63" t="s">
        <v>808</v>
      </c>
      <c r="S7" s="63" t="s">
        <v>30</v>
      </c>
      <c r="T7" s="63" t="s">
        <v>31</v>
      </c>
      <c r="U7" s="63" t="s">
        <v>30</v>
      </c>
      <c r="V7" s="63"/>
      <c r="W7" s="446"/>
      <c r="X7" s="63"/>
      <c r="Y7" s="432"/>
      <c r="Z7" s="518"/>
      <c r="AA7" s="470"/>
      <c r="AB7" s="432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</row>
    <row r="8" spans="1:66" ht="25.5" customHeight="1" thickBot="1">
      <c r="A8" s="525"/>
      <c r="B8" s="422"/>
      <c r="C8" s="524"/>
      <c r="D8" s="524"/>
      <c r="E8" s="524"/>
      <c r="F8" s="524"/>
      <c r="G8" s="524"/>
      <c r="H8" s="524"/>
      <c r="I8" s="270" t="s">
        <v>32</v>
      </c>
      <c r="J8" s="270" t="s">
        <v>33</v>
      </c>
      <c r="K8" s="270" t="s">
        <v>34</v>
      </c>
      <c r="L8" s="271" t="s">
        <v>26</v>
      </c>
      <c r="M8" s="272" t="s">
        <v>25</v>
      </c>
      <c r="N8" s="270" t="s">
        <v>26</v>
      </c>
      <c r="O8" s="270" t="s">
        <v>27</v>
      </c>
      <c r="P8" s="270" t="s">
        <v>28</v>
      </c>
      <c r="Q8" s="523"/>
      <c r="R8" s="521"/>
      <c r="S8" s="521"/>
      <c r="T8" s="523"/>
      <c r="U8" s="521"/>
      <c r="V8" s="521"/>
      <c r="W8" s="522"/>
      <c r="X8" s="521"/>
      <c r="Y8" s="516"/>
      <c r="Z8" s="519"/>
      <c r="AA8" s="520"/>
      <c r="AB8" s="516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</row>
    <row r="9" spans="1:28" ht="12.75">
      <c r="A9" s="273" t="s">
        <v>35</v>
      </c>
      <c r="B9" s="274">
        <v>4032</v>
      </c>
      <c r="C9" s="275" t="s">
        <v>36</v>
      </c>
      <c r="D9" s="274">
        <v>10100212</v>
      </c>
      <c r="E9" s="275" t="s">
        <v>809</v>
      </c>
      <c r="F9" s="274" t="s">
        <v>52</v>
      </c>
      <c r="G9" s="274">
        <v>1284</v>
      </c>
      <c r="H9" s="275" t="s">
        <v>104</v>
      </c>
      <c r="I9" s="274">
        <v>1507488</v>
      </c>
      <c r="J9" s="274" t="s">
        <v>810</v>
      </c>
      <c r="K9" s="274">
        <v>171.2</v>
      </c>
      <c r="L9" s="276" t="s">
        <v>811</v>
      </c>
      <c r="M9" s="277">
        <v>11911</v>
      </c>
      <c r="N9" s="274" t="s">
        <v>812</v>
      </c>
      <c r="O9" s="274">
        <v>0.4</v>
      </c>
      <c r="P9" s="274">
        <v>9.79</v>
      </c>
      <c r="Q9" s="275" t="s">
        <v>43</v>
      </c>
      <c r="R9" s="275" t="s">
        <v>247</v>
      </c>
      <c r="S9" s="275">
        <v>10</v>
      </c>
      <c r="T9" s="275"/>
      <c r="U9" s="275"/>
      <c r="V9" s="275">
        <v>80</v>
      </c>
      <c r="W9" s="278">
        <f>(Z9*M9*I9*2000)/1000000/2000</f>
        <v>1921.2587837759997</v>
      </c>
      <c r="X9" s="274">
        <v>0</v>
      </c>
      <c r="Y9" s="276">
        <v>10</v>
      </c>
      <c r="Z9" s="279">
        <v>0.107</v>
      </c>
      <c r="AA9" s="277" t="s">
        <v>813</v>
      </c>
      <c r="AB9" s="280" t="s">
        <v>779</v>
      </c>
    </row>
    <row r="10" spans="1:28" ht="12.75">
      <c r="A10" s="281" t="s">
        <v>35</v>
      </c>
      <c r="B10" s="282">
        <v>4033</v>
      </c>
      <c r="C10" s="283" t="s">
        <v>47</v>
      </c>
      <c r="D10" s="282">
        <v>10100501</v>
      </c>
      <c r="E10" s="283" t="s">
        <v>809</v>
      </c>
      <c r="F10" s="282" t="s">
        <v>52</v>
      </c>
      <c r="G10" s="282">
        <v>1284</v>
      </c>
      <c r="H10" s="283" t="s">
        <v>430</v>
      </c>
      <c r="I10" s="282">
        <v>229.585</v>
      </c>
      <c r="J10" s="282" t="s">
        <v>814</v>
      </c>
      <c r="K10" s="282"/>
      <c r="L10" s="284"/>
      <c r="M10" s="285">
        <v>40000</v>
      </c>
      <c r="N10" s="282" t="s">
        <v>80</v>
      </c>
      <c r="O10" s="282">
        <v>0.05</v>
      </c>
      <c r="P10" s="282" t="s">
        <v>42</v>
      </c>
      <c r="Q10" s="283" t="s">
        <v>43</v>
      </c>
      <c r="R10" s="283"/>
      <c r="S10" s="283"/>
      <c r="T10" s="283"/>
      <c r="U10" s="283"/>
      <c r="V10" s="283"/>
      <c r="W10" s="286">
        <f>Z10*I10/2000</f>
        <v>0.901121125</v>
      </c>
      <c r="X10" s="282">
        <v>0</v>
      </c>
      <c r="Y10" s="284">
        <v>3</v>
      </c>
      <c r="Z10" s="287">
        <v>7.85</v>
      </c>
      <c r="AA10" s="285" t="s">
        <v>81</v>
      </c>
      <c r="AB10" s="288" t="s">
        <v>815</v>
      </c>
    </row>
    <row r="11" spans="1:28" ht="12.75">
      <c r="A11" s="281" t="s">
        <v>35</v>
      </c>
      <c r="B11" s="282">
        <v>4034</v>
      </c>
      <c r="C11" s="283" t="s">
        <v>35</v>
      </c>
      <c r="D11" s="282">
        <v>10100212</v>
      </c>
      <c r="E11" s="283" t="s">
        <v>809</v>
      </c>
      <c r="F11" s="282" t="s">
        <v>38</v>
      </c>
      <c r="G11" s="282">
        <v>1285</v>
      </c>
      <c r="H11" s="283" t="s">
        <v>104</v>
      </c>
      <c r="I11" s="282">
        <v>1516187</v>
      </c>
      <c r="J11" s="282" t="s">
        <v>810</v>
      </c>
      <c r="K11" s="282">
        <v>171.2</v>
      </c>
      <c r="L11" s="284" t="s">
        <v>811</v>
      </c>
      <c r="M11" s="285">
        <v>11908</v>
      </c>
      <c r="N11" s="282" t="s">
        <v>812</v>
      </c>
      <c r="O11" s="282">
        <v>0.4</v>
      </c>
      <c r="P11" s="282">
        <v>9.81</v>
      </c>
      <c r="Q11" s="283" t="s">
        <v>43</v>
      </c>
      <c r="R11" s="283" t="s">
        <v>247</v>
      </c>
      <c r="S11" s="283">
        <v>10</v>
      </c>
      <c r="T11" s="283"/>
      <c r="U11" s="283"/>
      <c r="V11" s="283"/>
      <c r="W11" s="286">
        <f>Z11*I11*M11*2000/1000000/2000</f>
        <v>11916.13816536</v>
      </c>
      <c r="X11" s="282">
        <v>0</v>
      </c>
      <c r="Y11" s="284">
        <v>10</v>
      </c>
      <c r="Z11" s="287">
        <v>0.66</v>
      </c>
      <c r="AA11" s="285" t="s">
        <v>813</v>
      </c>
      <c r="AB11" s="288" t="s">
        <v>779</v>
      </c>
    </row>
    <row r="12" spans="1:28" ht="12.75">
      <c r="A12" s="281" t="s">
        <v>35</v>
      </c>
      <c r="B12" s="282">
        <v>4035</v>
      </c>
      <c r="C12" s="283" t="s">
        <v>57</v>
      </c>
      <c r="D12" s="282">
        <v>10100501</v>
      </c>
      <c r="E12" s="283" t="s">
        <v>809</v>
      </c>
      <c r="F12" s="282" t="s">
        <v>38</v>
      </c>
      <c r="G12" s="282">
        <v>1285</v>
      </c>
      <c r="H12" s="283" t="s">
        <v>430</v>
      </c>
      <c r="I12" s="282">
        <v>161.119</v>
      </c>
      <c r="J12" s="282" t="s">
        <v>814</v>
      </c>
      <c r="K12" s="282"/>
      <c r="L12" s="284"/>
      <c r="M12" s="285">
        <v>40000</v>
      </c>
      <c r="N12" s="282" t="s">
        <v>80</v>
      </c>
      <c r="O12" s="282">
        <v>0.05</v>
      </c>
      <c r="P12" s="282" t="s">
        <v>42</v>
      </c>
      <c r="Q12" s="283" t="s">
        <v>43</v>
      </c>
      <c r="R12" s="283"/>
      <c r="S12" s="283"/>
      <c r="T12" s="283"/>
      <c r="U12" s="283"/>
      <c r="V12" s="283"/>
      <c r="W12" s="286">
        <f>Z12*I12/2000</f>
        <v>0.6323920749999999</v>
      </c>
      <c r="X12" s="282">
        <v>0</v>
      </c>
      <c r="Y12" s="284">
        <v>3</v>
      </c>
      <c r="Z12" s="287">
        <v>7.85</v>
      </c>
      <c r="AA12" s="285" t="s">
        <v>81</v>
      </c>
      <c r="AB12" s="288" t="s">
        <v>815</v>
      </c>
    </row>
    <row r="13" spans="1:28" ht="12.75">
      <c r="A13" s="281" t="s">
        <v>233</v>
      </c>
      <c r="B13" s="282">
        <v>9309</v>
      </c>
      <c r="C13" s="283" t="s">
        <v>783</v>
      </c>
      <c r="D13" s="282">
        <v>30501039</v>
      </c>
      <c r="E13" s="283" t="s">
        <v>784</v>
      </c>
      <c r="F13" s="282" t="s">
        <v>38</v>
      </c>
      <c r="G13" s="282">
        <v>0</v>
      </c>
      <c r="H13" s="283" t="s">
        <v>430</v>
      </c>
      <c r="I13" s="282">
        <v>2080</v>
      </c>
      <c r="J13" s="282" t="s">
        <v>816</v>
      </c>
      <c r="K13" s="282"/>
      <c r="L13" s="284"/>
      <c r="M13" s="285">
        <v>0</v>
      </c>
      <c r="N13" s="282">
        <v>0</v>
      </c>
      <c r="O13" s="282">
        <v>0</v>
      </c>
      <c r="P13" s="282">
        <v>0</v>
      </c>
      <c r="Q13" s="283" t="s">
        <v>43</v>
      </c>
      <c r="R13" s="283"/>
      <c r="S13" s="283"/>
      <c r="T13" s="283"/>
      <c r="U13" s="283"/>
      <c r="V13" s="283"/>
      <c r="W13" s="286">
        <f>(Z13*I13/2000)</f>
        <v>0.468</v>
      </c>
      <c r="X13" s="282" t="s">
        <v>42</v>
      </c>
      <c r="Y13" s="284">
        <v>3</v>
      </c>
      <c r="Z13" s="287">
        <v>0.45</v>
      </c>
      <c r="AA13" s="285" t="s">
        <v>817</v>
      </c>
      <c r="AB13" s="288" t="s">
        <v>818</v>
      </c>
    </row>
    <row r="14" spans="1:28" ht="12.75">
      <c r="A14" s="281" t="s">
        <v>35</v>
      </c>
      <c r="B14" s="282">
        <v>13720</v>
      </c>
      <c r="C14" s="283" t="s">
        <v>819</v>
      </c>
      <c r="D14" s="282">
        <v>10200501</v>
      </c>
      <c r="E14" s="283" t="s">
        <v>820</v>
      </c>
      <c r="F14" s="282" t="s">
        <v>38</v>
      </c>
      <c r="G14" s="282">
        <v>3723</v>
      </c>
      <c r="H14" s="283" t="s">
        <v>821</v>
      </c>
      <c r="I14" s="282">
        <v>5.88</v>
      </c>
      <c r="J14" s="282" t="s">
        <v>814</v>
      </c>
      <c r="K14" s="282">
        <v>840</v>
      </c>
      <c r="L14" s="284" t="s">
        <v>822</v>
      </c>
      <c r="M14" s="285">
        <v>40000</v>
      </c>
      <c r="N14" s="282" t="s">
        <v>80</v>
      </c>
      <c r="O14" s="282">
        <v>0.05</v>
      </c>
      <c r="P14" s="282">
        <v>0</v>
      </c>
      <c r="Q14" s="283" t="s">
        <v>43</v>
      </c>
      <c r="R14" s="283"/>
      <c r="S14" s="283"/>
      <c r="T14" s="283"/>
      <c r="U14" s="283"/>
      <c r="V14" s="283"/>
      <c r="W14" s="286">
        <f>Z14*I14/2000</f>
        <v>0.020579999999999998</v>
      </c>
      <c r="X14" s="282">
        <v>0</v>
      </c>
      <c r="Y14" s="284">
        <v>3</v>
      </c>
      <c r="Z14" s="287">
        <v>7</v>
      </c>
      <c r="AA14" s="285" t="s">
        <v>81</v>
      </c>
      <c r="AB14" s="288" t="s">
        <v>815</v>
      </c>
    </row>
    <row r="15" spans="1:28" ht="12.75">
      <c r="A15" s="281" t="s">
        <v>35</v>
      </c>
      <c r="B15" s="282">
        <v>13721</v>
      </c>
      <c r="C15" s="283" t="s">
        <v>823</v>
      </c>
      <c r="D15" s="282">
        <v>10200501</v>
      </c>
      <c r="E15" s="283" t="s">
        <v>824</v>
      </c>
      <c r="F15" s="282" t="s">
        <v>38</v>
      </c>
      <c r="G15" s="282">
        <v>3724</v>
      </c>
      <c r="H15" s="283" t="s">
        <v>821</v>
      </c>
      <c r="I15" s="282">
        <v>1.3</v>
      </c>
      <c r="J15" s="282" t="s">
        <v>814</v>
      </c>
      <c r="K15" s="282">
        <v>650</v>
      </c>
      <c r="L15" s="284" t="s">
        <v>822</v>
      </c>
      <c r="M15" s="285">
        <v>40000</v>
      </c>
      <c r="N15" s="282" t="s">
        <v>80</v>
      </c>
      <c r="O15" s="282">
        <v>0.05</v>
      </c>
      <c r="P15" s="282">
        <v>0</v>
      </c>
      <c r="Q15" s="283" t="s">
        <v>43</v>
      </c>
      <c r="R15" s="283"/>
      <c r="S15" s="283"/>
      <c r="T15" s="283"/>
      <c r="U15" s="283"/>
      <c r="V15" s="283"/>
      <c r="W15" s="286">
        <f>Z15*I15/2000</f>
        <v>0.00455</v>
      </c>
      <c r="X15" s="282">
        <v>0</v>
      </c>
      <c r="Y15" s="284">
        <v>3</v>
      </c>
      <c r="Z15" s="287">
        <v>7</v>
      </c>
      <c r="AA15" s="285" t="s">
        <v>81</v>
      </c>
      <c r="AB15" s="288" t="s">
        <v>815</v>
      </c>
    </row>
    <row r="16" spans="1:28" ht="12.75">
      <c r="A16" s="281" t="s">
        <v>120</v>
      </c>
      <c r="B16" s="282">
        <v>13730</v>
      </c>
      <c r="C16" s="283" t="s">
        <v>233</v>
      </c>
      <c r="D16" s="282">
        <v>20200102</v>
      </c>
      <c r="E16" s="283" t="s">
        <v>825</v>
      </c>
      <c r="F16" s="282" t="s">
        <v>38</v>
      </c>
      <c r="G16" s="282">
        <v>0</v>
      </c>
      <c r="H16" s="283" t="s">
        <v>430</v>
      </c>
      <c r="I16" s="282">
        <v>49</v>
      </c>
      <c r="J16" s="282" t="s">
        <v>816</v>
      </c>
      <c r="K16" s="282">
        <v>1155</v>
      </c>
      <c r="L16" s="284" t="s">
        <v>403</v>
      </c>
      <c r="M16" s="285">
        <v>140000</v>
      </c>
      <c r="N16" s="282" t="s">
        <v>80</v>
      </c>
      <c r="O16" s="282">
        <v>0.05</v>
      </c>
      <c r="P16" s="282">
        <v>0</v>
      </c>
      <c r="Q16" s="283" t="s">
        <v>43</v>
      </c>
      <c r="R16" s="283"/>
      <c r="S16" s="283"/>
      <c r="T16" s="283"/>
      <c r="U16" s="283"/>
      <c r="V16" s="283"/>
      <c r="W16" s="286">
        <f>Z16*I16*K16/2000</f>
        <v>0.011319</v>
      </c>
      <c r="X16" s="282" t="s">
        <v>42</v>
      </c>
      <c r="Y16" s="284">
        <v>3</v>
      </c>
      <c r="Z16" s="287">
        <v>0.0004</v>
      </c>
      <c r="AA16" s="285" t="s">
        <v>259</v>
      </c>
      <c r="AB16" s="288" t="s">
        <v>826</v>
      </c>
    </row>
    <row r="17" spans="1:28" ht="12.75">
      <c r="A17" s="281" t="s">
        <v>120</v>
      </c>
      <c r="B17" s="282">
        <v>13731</v>
      </c>
      <c r="C17" s="283" t="s">
        <v>789</v>
      </c>
      <c r="D17" s="282">
        <v>20200102</v>
      </c>
      <c r="E17" s="283" t="s">
        <v>827</v>
      </c>
      <c r="F17" s="282" t="s">
        <v>38</v>
      </c>
      <c r="G17" s="282">
        <v>0</v>
      </c>
      <c r="H17" s="283" t="s">
        <v>430</v>
      </c>
      <c r="I17" s="282">
        <v>48</v>
      </c>
      <c r="J17" s="282" t="s">
        <v>816</v>
      </c>
      <c r="K17" s="282">
        <v>1155</v>
      </c>
      <c r="L17" s="284" t="s">
        <v>403</v>
      </c>
      <c r="M17" s="285">
        <v>140000</v>
      </c>
      <c r="N17" s="282" t="s">
        <v>80</v>
      </c>
      <c r="O17" s="282">
        <v>0.05</v>
      </c>
      <c r="P17" s="282">
        <v>0</v>
      </c>
      <c r="Q17" s="283" t="s">
        <v>43</v>
      </c>
      <c r="R17" s="283"/>
      <c r="S17" s="283"/>
      <c r="T17" s="283"/>
      <c r="U17" s="283"/>
      <c r="V17" s="283"/>
      <c r="W17" s="286">
        <f>Z17*I17*K17/2000</f>
        <v>0.011088</v>
      </c>
      <c r="X17" s="282" t="s">
        <v>42</v>
      </c>
      <c r="Y17" s="284">
        <v>3</v>
      </c>
      <c r="Z17" s="287">
        <v>0.0004</v>
      </c>
      <c r="AA17" s="285" t="s">
        <v>259</v>
      </c>
      <c r="AB17" s="288" t="s">
        <v>826</v>
      </c>
    </row>
    <row r="18" spans="1:28" ht="13.5" thickBot="1">
      <c r="A18" s="289" t="s">
        <v>120</v>
      </c>
      <c r="B18" s="290">
        <v>13732</v>
      </c>
      <c r="C18" s="291" t="s">
        <v>828</v>
      </c>
      <c r="D18" s="290">
        <v>20200102</v>
      </c>
      <c r="E18" s="291" t="s">
        <v>829</v>
      </c>
      <c r="F18" s="290" t="s">
        <v>38</v>
      </c>
      <c r="G18" s="290">
        <v>0</v>
      </c>
      <c r="H18" s="291" t="s">
        <v>430</v>
      </c>
      <c r="I18" s="290">
        <v>112</v>
      </c>
      <c r="J18" s="290" t="s">
        <v>816</v>
      </c>
      <c r="K18" s="290">
        <v>250</v>
      </c>
      <c r="L18" s="292" t="s">
        <v>403</v>
      </c>
      <c r="M18" s="293">
        <v>140000</v>
      </c>
      <c r="N18" s="290" t="s">
        <v>80</v>
      </c>
      <c r="O18" s="290">
        <v>0.05</v>
      </c>
      <c r="P18" s="290">
        <v>0</v>
      </c>
      <c r="Q18" s="291" t="s">
        <v>43</v>
      </c>
      <c r="R18" s="291"/>
      <c r="S18" s="291"/>
      <c r="T18" s="291"/>
      <c r="U18" s="291"/>
      <c r="V18" s="291"/>
      <c r="W18" s="294">
        <f>Z18*I18*K18/2000</f>
        <v>0.0294</v>
      </c>
      <c r="X18" s="290" t="s">
        <v>42</v>
      </c>
      <c r="Y18" s="292">
        <v>3</v>
      </c>
      <c r="Z18" s="295">
        <v>0.0021</v>
      </c>
      <c r="AA18" s="293" t="s">
        <v>259</v>
      </c>
      <c r="AB18" s="296" t="s">
        <v>826</v>
      </c>
    </row>
    <row r="19" spans="22:23" ht="13.5" thickBot="1">
      <c r="V19" s="94" t="s">
        <v>830</v>
      </c>
      <c r="W19" s="218">
        <f>SUM(W9:W18)</f>
        <v>13839.475399336</v>
      </c>
    </row>
    <row r="20" ht="13.5" thickTop="1">
      <c r="C20" s="59" t="s">
        <v>470</v>
      </c>
    </row>
    <row r="22" spans="3:4" ht="12.75">
      <c r="C22">
        <v>4032</v>
      </c>
      <c r="D22" t="s">
        <v>831</v>
      </c>
    </row>
    <row r="23" spans="3:4" ht="12.75">
      <c r="C23">
        <v>4033</v>
      </c>
      <c r="D23" t="s">
        <v>832</v>
      </c>
    </row>
    <row r="24" spans="3:4" ht="12.75">
      <c r="C24">
        <v>4034</v>
      </c>
      <c r="D24" t="s">
        <v>833</v>
      </c>
    </row>
    <row r="25" spans="3:4" ht="12.75">
      <c r="C25">
        <v>4035</v>
      </c>
      <c r="D25" t="s">
        <v>834</v>
      </c>
    </row>
    <row r="26" spans="3:4" ht="12.75">
      <c r="C26">
        <v>9309</v>
      </c>
      <c r="D26" t="s">
        <v>835</v>
      </c>
    </row>
    <row r="27" spans="3:4" ht="12.75">
      <c r="C27">
        <v>13720</v>
      </c>
      <c r="D27" t="s">
        <v>836</v>
      </c>
    </row>
    <row r="28" spans="3:4" ht="12.75">
      <c r="C28">
        <v>13721</v>
      </c>
      <c r="D28" t="s">
        <v>837</v>
      </c>
    </row>
    <row r="29" spans="3:4" ht="12.75">
      <c r="C29">
        <v>13730</v>
      </c>
      <c r="D29" t="s">
        <v>838</v>
      </c>
    </row>
    <row r="30" spans="3:4" ht="12.75">
      <c r="C30">
        <v>13731</v>
      </c>
      <c r="D30" t="s">
        <v>839</v>
      </c>
    </row>
    <row r="31" spans="3:4" ht="12.75">
      <c r="C31">
        <v>13732</v>
      </c>
      <c r="D31" t="s">
        <v>840</v>
      </c>
    </row>
    <row r="33" ht="12.75">
      <c r="C33" t="s">
        <v>841</v>
      </c>
    </row>
    <row r="34" ht="12.75">
      <c r="D34" t="s">
        <v>842</v>
      </c>
    </row>
    <row r="35" ht="12.75">
      <c r="D35" t="s">
        <v>843</v>
      </c>
    </row>
    <row r="36" ht="12.75">
      <c r="D36" t="s">
        <v>844</v>
      </c>
    </row>
    <row r="37" ht="12.75">
      <c r="D37" t="s">
        <v>845</v>
      </c>
    </row>
    <row r="38" ht="12.75">
      <c r="D38" t="s">
        <v>846</v>
      </c>
    </row>
    <row r="39" ht="12.75">
      <c r="D39" t="s">
        <v>847</v>
      </c>
    </row>
    <row r="40" ht="12.75">
      <c r="D40" t="s">
        <v>848</v>
      </c>
    </row>
    <row r="41" ht="12.75">
      <c r="D41" t="s">
        <v>849</v>
      </c>
    </row>
    <row r="42" ht="12.75">
      <c r="D42" t="s">
        <v>850</v>
      </c>
    </row>
    <row r="43" ht="12.75">
      <c r="D43" t="s">
        <v>851</v>
      </c>
    </row>
    <row r="44" ht="12.75">
      <c r="D44" t="s">
        <v>852</v>
      </c>
    </row>
    <row r="45" ht="12.75">
      <c r="D45" t="s">
        <v>853</v>
      </c>
    </row>
  </sheetData>
  <mergeCells count="24">
    <mergeCell ref="A6:A8"/>
    <mergeCell ref="B6:B8"/>
    <mergeCell ref="C6:C8"/>
    <mergeCell ref="D6:D8"/>
    <mergeCell ref="E6:E8"/>
    <mergeCell ref="F6:F8"/>
    <mergeCell ref="G6:G8"/>
    <mergeCell ref="H6:H8"/>
    <mergeCell ref="I6:L7"/>
    <mergeCell ref="M6:P7"/>
    <mergeCell ref="Q6:Q8"/>
    <mergeCell ref="R6:S6"/>
    <mergeCell ref="R7:R8"/>
    <mergeCell ref="S7:S8"/>
    <mergeCell ref="T6:U6"/>
    <mergeCell ref="V6:V8"/>
    <mergeCell ref="W6:W8"/>
    <mergeCell ref="X6:X8"/>
    <mergeCell ref="T7:T8"/>
    <mergeCell ref="U7:U8"/>
    <mergeCell ref="Y6:Y8"/>
    <mergeCell ref="Z6:Z8"/>
    <mergeCell ref="AA6:AA8"/>
    <mergeCell ref="AB6:AB8"/>
  </mergeCells>
  <printOptions horizontalCentered="1"/>
  <pageMargins left="0.28" right="0.16" top="1.67" bottom="1.78" header="0.61" footer="0.21"/>
  <pageSetup horizontalDpi="600" verticalDpi="600" orientation="landscape" pageOrder="overThenDown" r:id="rId1"/>
  <headerFooter alignWithMargins="0">
    <oddHeader>&amp;L
PacifiCorp
Site:  Huntington Power Plant
Site ID:  10238&amp;CRegional Haze
2000 Statewide SOx Sources</oddHeader>
    <oddFooter>&amp;R&amp;D
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N53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6.57421875" style="0" customWidth="1"/>
    <col min="3" max="3" width="14.7109375" style="0" customWidth="1"/>
    <col min="4" max="4" width="9.00390625" style="0" customWidth="1"/>
    <col min="5" max="5" width="32.7109375" style="0" customWidth="1"/>
    <col min="6" max="6" width="5.8515625" style="0" customWidth="1"/>
    <col min="7" max="7" width="10.421875" style="0" customWidth="1"/>
    <col min="8" max="8" width="15.140625" style="0" customWidth="1"/>
    <col min="10" max="10" width="10.00390625" style="0" customWidth="1"/>
    <col min="11" max="11" width="7.00390625" style="0" customWidth="1"/>
    <col min="12" max="12" width="8.00390625" style="0" customWidth="1"/>
    <col min="13" max="13" width="8.421875" style="0" customWidth="1"/>
    <col min="14" max="15" width="6.8515625" style="0" customWidth="1"/>
    <col min="16" max="16" width="5.28125" style="0" customWidth="1"/>
    <col min="18" max="18" width="12.140625" style="0" customWidth="1"/>
    <col min="19" max="19" width="9.28125" style="0" customWidth="1"/>
    <col min="20" max="20" width="11.8515625" style="0" customWidth="1"/>
    <col min="22" max="22" width="9.8515625" style="0" customWidth="1"/>
    <col min="23" max="23" width="11.7109375" style="200" customWidth="1"/>
    <col min="24" max="24" width="11.00390625" style="0" customWidth="1"/>
    <col min="25" max="25" width="8.421875" style="0" customWidth="1"/>
    <col min="27" max="27" width="11.8515625" style="0" customWidth="1"/>
    <col min="28" max="28" width="16.57421875" style="0" customWidth="1"/>
  </cols>
  <sheetData>
    <row r="1" spans="1:5" ht="15.75">
      <c r="A1" s="59" t="s">
        <v>229</v>
      </c>
      <c r="B1" s="59"/>
      <c r="C1" s="297" t="s">
        <v>772</v>
      </c>
      <c r="E1" s="4" t="s">
        <v>1</v>
      </c>
    </row>
    <row r="2" spans="1:5" ht="15">
      <c r="A2" s="59"/>
      <c r="B2" s="59"/>
      <c r="E2" s="5" t="s">
        <v>95</v>
      </c>
    </row>
    <row r="3" spans="1:3" ht="12.75">
      <c r="A3" s="59" t="s">
        <v>2</v>
      </c>
      <c r="B3" s="59" t="s">
        <v>3</v>
      </c>
      <c r="C3" s="297" t="s">
        <v>854</v>
      </c>
    </row>
    <row r="4" spans="1:2" ht="12.75">
      <c r="A4" s="298">
        <v>10237</v>
      </c>
      <c r="B4" s="59"/>
    </row>
    <row r="5" ht="13.5" thickBot="1"/>
    <row r="6" spans="1:66" ht="16.5" customHeight="1">
      <c r="A6" s="514" t="s">
        <v>5</v>
      </c>
      <c r="B6" s="404" t="s">
        <v>6</v>
      </c>
      <c r="C6" s="399" t="s">
        <v>7</v>
      </c>
      <c r="D6" s="399" t="s">
        <v>8</v>
      </c>
      <c r="E6" s="399" t="s">
        <v>9</v>
      </c>
      <c r="F6" s="399" t="s">
        <v>10</v>
      </c>
      <c r="G6" s="399" t="s">
        <v>11</v>
      </c>
      <c r="H6" s="399" t="s">
        <v>12</v>
      </c>
      <c r="I6" s="426" t="s">
        <v>13</v>
      </c>
      <c r="J6" s="439"/>
      <c r="K6" s="439"/>
      <c r="L6" s="440"/>
      <c r="M6" s="418" t="s">
        <v>14</v>
      </c>
      <c r="N6" s="439"/>
      <c r="O6" s="439"/>
      <c r="P6" s="439"/>
      <c r="Q6" s="399" t="s">
        <v>15</v>
      </c>
      <c r="R6" s="426" t="s">
        <v>16</v>
      </c>
      <c r="S6" s="426"/>
      <c r="T6" s="426" t="s">
        <v>17</v>
      </c>
      <c r="U6" s="426"/>
      <c r="V6" s="399" t="s">
        <v>18</v>
      </c>
      <c r="W6" s="445" t="s">
        <v>99</v>
      </c>
      <c r="X6" s="399" t="s">
        <v>424</v>
      </c>
      <c r="Y6" s="399" t="s">
        <v>21</v>
      </c>
      <c r="Z6" s="431" t="s">
        <v>22</v>
      </c>
      <c r="AA6" s="404" t="s">
        <v>23</v>
      </c>
      <c r="AB6" s="431" t="s">
        <v>24</v>
      </c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</row>
    <row r="7" spans="1:66" s="9" customFormat="1" ht="24.75" customHeight="1">
      <c r="A7" s="515"/>
      <c r="B7" s="419"/>
      <c r="C7" s="429"/>
      <c r="D7" s="429"/>
      <c r="E7" s="429"/>
      <c r="F7" s="429"/>
      <c r="G7" s="429"/>
      <c r="H7" s="429"/>
      <c r="I7" s="429"/>
      <c r="J7" s="429"/>
      <c r="K7" s="429"/>
      <c r="L7" s="441"/>
      <c r="M7" s="419"/>
      <c r="N7" s="429"/>
      <c r="O7" s="429"/>
      <c r="P7" s="429"/>
      <c r="Q7" s="424"/>
      <c r="R7" s="63" t="s">
        <v>855</v>
      </c>
      <c r="S7" s="63" t="s">
        <v>30</v>
      </c>
      <c r="T7" s="63" t="s">
        <v>31</v>
      </c>
      <c r="U7" s="63" t="s">
        <v>30</v>
      </c>
      <c r="V7" s="63"/>
      <c r="W7" s="446"/>
      <c r="X7" s="63"/>
      <c r="Y7" s="63"/>
      <c r="Z7" s="432"/>
      <c r="AA7" s="470"/>
      <c r="AB7" s="432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</row>
    <row r="8" spans="1:66" ht="25.5" customHeight="1" thickBot="1">
      <c r="A8" s="526"/>
      <c r="B8" s="420"/>
      <c r="C8" s="430"/>
      <c r="D8" s="430"/>
      <c r="E8" s="430"/>
      <c r="F8" s="430"/>
      <c r="G8" s="430"/>
      <c r="H8" s="430"/>
      <c r="I8" s="58" t="s">
        <v>32</v>
      </c>
      <c r="J8" s="58" t="s">
        <v>33</v>
      </c>
      <c r="K8" s="58" t="s">
        <v>34</v>
      </c>
      <c r="L8" s="111" t="s">
        <v>26</v>
      </c>
      <c r="M8" s="112" t="s">
        <v>25</v>
      </c>
      <c r="N8" s="58" t="s">
        <v>26</v>
      </c>
      <c r="O8" s="58" t="s">
        <v>27</v>
      </c>
      <c r="P8" s="58" t="s">
        <v>28</v>
      </c>
      <c r="Q8" s="425"/>
      <c r="R8" s="377"/>
      <c r="S8" s="377"/>
      <c r="T8" s="425"/>
      <c r="U8" s="377"/>
      <c r="V8" s="377"/>
      <c r="W8" s="447"/>
      <c r="X8" s="377"/>
      <c r="Y8" s="377"/>
      <c r="Z8" s="433"/>
      <c r="AA8" s="471"/>
      <c r="AB8" s="433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</row>
    <row r="9" spans="1:28" ht="12.75">
      <c r="A9" s="299" t="s">
        <v>35</v>
      </c>
      <c r="B9" s="300">
        <v>4026</v>
      </c>
      <c r="C9" s="301" t="s">
        <v>36</v>
      </c>
      <c r="D9" s="302">
        <v>10100212</v>
      </c>
      <c r="E9" s="301" t="s">
        <v>856</v>
      </c>
      <c r="F9" s="302" t="s">
        <v>52</v>
      </c>
      <c r="G9" s="302">
        <v>1281</v>
      </c>
      <c r="H9" s="301" t="s">
        <v>104</v>
      </c>
      <c r="I9" s="302">
        <v>1240216</v>
      </c>
      <c r="J9" s="302" t="s">
        <v>810</v>
      </c>
      <c r="K9" s="301">
        <v>170.5</v>
      </c>
      <c r="L9" s="303" t="s">
        <v>857</v>
      </c>
      <c r="M9" s="300">
        <v>12137</v>
      </c>
      <c r="N9" s="302" t="s">
        <v>566</v>
      </c>
      <c r="O9" s="302">
        <v>0.45</v>
      </c>
      <c r="P9" s="302">
        <v>8.97</v>
      </c>
      <c r="Q9" s="301" t="s">
        <v>43</v>
      </c>
      <c r="R9" s="301" t="s">
        <v>858</v>
      </c>
      <c r="S9" s="301">
        <v>10</v>
      </c>
      <c r="T9" s="301"/>
      <c r="U9" s="301"/>
      <c r="V9" s="301">
        <v>80</v>
      </c>
      <c r="W9" s="304">
        <f>Z9*(I9*2000)*(M9/1000000)/2000</f>
        <v>2032.08771492</v>
      </c>
      <c r="X9" s="302">
        <v>0</v>
      </c>
      <c r="Y9" s="302">
        <v>10</v>
      </c>
      <c r="Z9" s="303">
        <v>0.135</v>
      </c>
      <c r="AA9" s="300" t="s">
        <v>778</v>
      </c>
      <c r="AB9" s="305" t="s">
        <v>779</v>
      </c>
    </row>
    <row r="10" spans="1:28" ht="12.75">
      <c r="A10" s="306" t="s">
        <v>35</v>
      </c>
      <c r="B10" s="307">
        <v>4027</v>
      </c>
      <c r="C10" s="308" t="s">
        <v>57</v>
      </c>
      <c r="D10" s="309">
        <v>10100501</v>
      </c>
      <c r="E10" s="308" t="s">
        <v>859</v>
      </c>
      <c r="F10" s="309" t="s">
        <v>52</v>
      </c>
      <c r="G10" s="309">
        <v>1281</v>
      </c>
      <c r="H10" s="308" t="s">
        <v>430</v>
      </c>
      <c r="I10" s="309">
        <v>185816</v>
      </c>
      <c r="J10" s="309" t="s">
        <v>860</v>
      </c>
      <c r="K10" s="308" t="s">
        <v>42</v>
      </c>
      <c r="L10" s="310" t="s">
        <v>42</v>
      </c>
      <c r="M10" s="307">
        <v>40000</v>
      </c>
      <c r="N10" s="309" t="s">
        <v>80</v>
      </c>
      <c r="O10" s="309">
        <v>0.05</v>
      </c>
      <c r="P10" s="309" t="s">
        <v>42</v>
      </c>
      <c r="Q10" s="308" t="s">
        <v>43</v>
      </c>
      <c r="R10" s="308"/>
      <c r="S10" s="308"/>
      <c r="T10" s="308"/>
      <c r="U10" s="308"/>
      <c r="V10" s="308"/>
      <c r="W10" s="311">
        <f>Z10*I10/1000/2000</f>
        <v>0.7293277999999999</v>
      </c>
      <c r="X10" s="309">
        <v>0</v>
      </c>
      <c r="Y10" s="309">
        <v>3</v>
      </c>
      <c r="Z10" s="310">
        <v>7.85</v>
      </c>
      <c r="AA10" s="307" t="s">
        <v>781</v>
      </c>
      <c r="AB10" s="312" t="s">
        <v>861</v>
      </c>
    </row>
    <row r="11" spans="1:28" ht="12.75">
      <c r="A11" s="306" t="s">
        <v>35</v>
      </c>
      <c r="B11" s="307">
        <v>4028</v>
      </c>
      <c r="C11" s="308" t="s">
        <v>35</v>
      </c>
      <c r="D11" s="309">
        <v>10100212</v>
      </c>
      <c r="E11" s="308" t="s">
        <v>856</v>
      </c>
      <c r="F11" s="309" t="s">
        <v>52</v>
      </c>
      <c r="G11" s="309">
        <v>1282</v>
      </c>
      <c r="H11" s="308" t="s">
        <v>104</v>
      </c>
      <c r="I11" s="309">
        <v>1407586</v>
      </c>
      <c r="J11" s="309" t="s">
        <v>810</v>
      </c>
      <c r="K11" s="308">
        <v>170.5</v>
      </c>
      <c r="L11" s="310" t="s">
        <v>42</v>
      </c>
      <c r="M11" s="307">
        <v>12031</v>
      </c>
      <c r="N11" s="309" t="s">
        <v>566</v>
      </c>
      <c r="O11" s="309">
        <v>0.45</v>
      </c>
      <c r="P11" s="309">
        <v>10.2</v>
      </c>
      <c r="Q11" s="308" t="s">
        <v>43</v>
      </c>
      <c r="R11" s="308" t="s">
        <v>858</v>
      </c>
      <c r="S11" s="308">
        <v>10</v>
      </c>
      <c r="T11" s="308"/>
      <c r="U11" s="308"/>
      <c r="V11" s="308">
        <v>80</v>
      </c>
      <c r="W11" s="311">
        <f>Z11*I11*2000*M11/1000000/2000</f>
        <v>1812.0093867619998</v>
      </c>
      <c r="X11" s="309">
        <v>0</v>
      </c>
      <c r="Y11" s="309">
        <v>10</v>
      </c>
      <c r="Z11" s="310">
        <v>0.107</v>
      </c>
      <c r="AA11" s="307" t="s">
        <v>778</v>
      </c>
      <c r="AB11" s="312" t="s">
        <v>779</v>
      </c>
    </row>
    <row r="12" spans="1:28" ht="12.75">
      <c r="A12" s="306" t="s">
        <v>35</v>
      </c>
      <c r="B12" s="307">
        <v>4029</v>
      </c>
      <c r="C12" s="308" t="s">
        <v>63</v>
      </c>
      <c r="D12" s="309">
        <v>10100501</v>
      </c>
      <c r="E12" s="308" t="s">
        <v>859</v>
      </c>
      <c r="F12" s="309" t="s">
        <v>52</v>
      </c>
      <c r="G12" s="309">
        <v>1282</v>
      </c>
      <c r="H12" s="308" t="s">
        <v>430</v>
      </c>
      <c r="I12" s="309">
        <v>152424</v>
      </c>
      <c r="J12" s="309" t="s">
        <v>860</v>
      </c>
      <c r="K12" s="308" t="s">
        <v>42</v>
      </c>
      <c r="L12" s="310" t="s">
        <v>42</v>
      </c>
      <c r="M12" s="307">
        <v>40000</v>
      </c>
      <c r="N12" s="309" t="s">
        <v>80</v>
      </c>
      <c r="O12" s="309">
        <v>0.05</v>
      </c>
      <c r="P12" s="309" t="s">
        <v>42</v>
      </c>
      <c r="Q12" s="308" t="s">
        <v>43</v>
      </c>
      <c r="R12" s="308"/>
      <c r="S12" s="308"/>
      <c r="T12" s="308"/>
      <c r="U12" s="308"/>
      <c r="V12" s="308"/>
      <c r="W12" s="311">
        <f>Z12*I12/1000/2000</f>
        <v>0.5982641999999999</v>
      </c>
      <c r="X12" s="309">
        <v>0</v>
      </c>
      <c r="Y12" s="309">
        <v>3</v>
      </c>
      <c r="Z12" s="310">
        <v>7.85</v>
      </c>
      <c r="AA12" s="307" t="s">
        <v>781</v>
      </c>
      <c r="AB12" s="312" t="s">
        <v>861</v>
      </c>
    </row>
    <row r="13" spans="1:28" ht="12.75">
      <c r="A13" s="306" t="s">
        <v>35</v>
      </c>
      <c r="B13" s="307">
        <v>4030</v>
      </c>
      <c r="C13" s="308" t="s">
        <v>47</v>
      </c>
      <c r="D13" s="309">
        <v>10100212</v>
      </c>
      <c r="E13" s="308" t="s">
        <v>856</v>
      </c>
      <c r="F13" s="309" t="s">
        <v>52</v>
      </c>
      <c r="G13" s="309">
        <v>1283</v>
      </c>
      <c r="H13" s="308" t="s">
        <v>104</v>
      </c>
      <c r="I13" s="309">
        <v>1486021</v>
      </c>
      <c r="J13" s="309" t="s">
        <v>810</v>
      </c>
      <c r="K13" s="308">
        <v>191</v>
      </c>
      <c r="L13" s="310" t="s">
        <v>857</v>
      </c>
      <c r="M13" s="307">
        <v>11883</v>
      </c>
      <c r="N13" s="309" t="s">
        <v>566</v>
      </c>
      <c r="O13" s="309">
        <v>0.45</v>
      </c>
      <c r="P13" s="309">
        <v>10.5</v>
      </c>
      <c r="Q13" s="308" t="s">
        <v>43</v>
      </c>
      <c r="R13" s="308" t="s">
        <v>858</v>
      </c>
      <c r="S13" s="308">
        <v>10</v>
      </c>
      <c r="T13" s="308"/>
      <c r="U13" s="308"/>
      <c r="V13" s="308">
        <v>90</v>
      </c>
      <c r="W13" s="311">
        <f>Z13*I13*2000*M13/1000000/2000</f>
        <v>1112.478415209</v>
      </c>
      <c r="X13" s="309">
        <v>0</v>
      </c>
      <c r="Y13" s="309">
        <v>10</v>
      </c>
      <c r="Z13" s="310">
        <v>0.063</v>
      </c>
      <c r="AA13" s="307" t="s">
        <v>778</v>
      </c>
      <c r="AB13" s="312" t="s">
        <v>779</v>
      </c>
    </row>
    <row r="14" spans="1:28" ht="12.75">
      <c r="A14" s="306" t="s">
        <v>35</v>
      </c>
      <c r="B14" s="307">
        <v>4031</v>
      </c>
      <c r="C14" s="308" t="s">
        <v>66</v>
      </c>
      <c r="D14" s="309">
        <v>10100501</v>
      </c>
      <c r="E14" s="308" t="s">
        <v>859</v>
      </c>
      <c r="F14" s="309" t="s">
        <v>52</v>
      </c>
      <c r="G14" s="309">
        <v>1283</v>
      </c>
      <c r="H14" s="308" t="s">
        <v>430</v>
      </c>
      <c r="I14" s="309">
        <v>359745</v>
      </c>
      <c r="J14" s="309" t="s">
        <v>860</v>
      </c>
      <c r="K14" s="308" t="s">
        <v>42</v>
      </c>
      <c r="L14" s="310" t="s">
        <v>42</v>
      </c>
      <c r="M14" s="307">
        <v>40000</v>
      </c>
      <c r="N14" s="309" t="s">
        <v>80</v>
      </c>
      <c r="O14" s="309">
        <v>0.05</v>
      </c>
      <c r="P14" s="309" t="s">
        <v>42</v>
      </c>
      <c r="Q14" s="308" t="s">
        <v>43</v>
      </c>
      <c r="R14" s="308"/>
      <c r="S14" s="308"/>
      <c r="T14" s="308"/>
      <c r="U14" s="308"/>
      <c r="V14" s="308"/>
      <c r="W14" s="311">
        <f>Z14*I14/1000/2000</f>
        <v>1.4119991250000001</v>
      </c>
      <c r="X14" s="309">
        <v>0</v>
      </c>
      <c r="Y14" s="309">
        <v>3</v>
      </c>
      <c r="Z14" s="310">
        <v>7.85</v>
      </c>
      <c r="AA14" s="307" t="s">
        <v>781</v>
      </c>
      <c r="AB14" s="312" t="s">
        <v>861</v>
      </c>
    </row>
    <row r="15" spans="1:28" ht="12.75">
      <c r="A15" s="306" t="s">
        <v>233</v>
      </c>
      <c r="B15" s="307">
        <v>9228</v>
      </c>
      <c r="C15" s="308" t="s">
        <v>783</v>
      </c>
      <c r="D15" s="309">
        <v>30501039</v>
      </c>
      <c r="E15" s="308" t="s">
        <v>784</v>
      </c>
      <c r="F15" s="309" t="s">
        <v>38</v>
      </c>
      <c r="G15" s="309">
        <v>0</v>
      </c>
      <c r="H15" s="308" t="s">
        <v>430</v>
      </c>
      <c r="I15" s="309">
        <v>2080</v>
      </c>
      <c r="J15" s="309" t="s">
        <v>785</v>
      </c>
      <c r="K15" s="308" t="s">
        <v>42</v>
      </c>
      <c r="L15" s="310">
        <v>0</v>
      </c>
      <c r="M15" s="307">
        <v>0</v>
      </c>
      <c r="N15" s="309">
        <v>0</v>
      </c>
      <c r="O15" s="309">
        <v>0</v>
      </c>
      <c r="P15" s="309">
        <v>0</v>
      </c>
      <c r="Q15" s="308" t="s">
        <v>43</v>
      </c>
      <c r="R15" s="308"/>
      <c r="S15" s="308"/>
      <c r="T15" s="308"/>
      <c r="U15" s="308"/>
      <c r="V15" s="308"/>
      <c r="W15" s="311">
        <f>(Z15*I15/2000)</f>
        <v>0.468</v>
      </c>
      <c r="X15" s="309" t="s">
        <v>42</v>
      </c>
      <c r="Y15" s="309">
        <v>3</v>
      </c>
      <c r="Z15" s="310">
        <v>0.45</v>
      </c>
      <c r="AA15" s="307" t="s">
        <v>862</v>
      </c>
      <c r="AB15" s="312" t="s">
        <v>863</v>
      </c>
    </row>
    <row r="16" spans="1:28" ht="12.75">
      <c r="A16" s="306" t="s">
        <v>35</v>
      </c>
      <c r="B16" s="307">
        <v>13693</v>
      </c>
      <c r="C16" s="308" t="s">
        <v>425</v>
      </c>
      <c r="D16" s="309">
        <v>10200501</v>
      </c>
      <c r="E16" s="308" t="s">
        <v>864</v>
      </c>
      <c r="F16" s="309" t="s">
        <v>38</v>
      </c>
      <c r="G16" s="309">
        <v>0</v>
      </c>
      <c r="H16" s="308" t="s">
        <v>430</v>
      </c>
      <c r="I16" s="309">
        <v>0</v>
      </c>
      <c r="J16" s="309" t="s">
        <v>860</v>
      </c>
      <c r="K16" s="308">
        <v>840</v>
      </c>
      <c r="L16" s="310" t="s">
        <v>865</v>
      </c>
      <c r="M16" s="307">
        <v>40000</v>
      </c>
      <c r="N16" s="309" t="s">
        <v>80</v>
      </c>
      <c r="O16" s="309">
        <v>0.05</v>
      </c>
      <c r="P16" s="309">
        <v>0</v>
      </c>
      <c r="Q16" s="308" t="s">
        <v>43</v>
      </c>
      <c r="R16" s="308"/>
      <c r="S16" s="308"/>
      <c r="T16" s="308"/>
      <c r="U16" s="308"/>
      <c r="V16" s="308"/>
      <c r="W16" s="311">
        <f>Z16*I16/1000/2000</f>
        <v>0</v>
      </c>
      <c r="X16" s="309">
        <v>0</v>
      </c>
      <c r="Y16" s="309">
        <v>3</v>
      </c>
      <c r="Z16" s="310">
        <v>7</v>
      </c>
      <c r="AA16" s="307" t="s">
        <v>781</v>
      </c>
      <c r="AB16" s="312" t="s">
        <v>861</v>
      </c>
    </row>
    <row r="17" spans="1:28" ht="12.75">
      <c r="A17" s="306" t="s">
        <v>120</v>
      </c>
      <c r="B17" s="307">
        <v>13704</v>
      </c>
      <c r="C17" s="308" t="s">
        <v>819</v>
      </c>
      <c r="D17" s="309">
        <v>20200102</v>
      </c>
      <c r="E17" s="308" t="s">
        <v>866</v>
      </c>
      <c r="F17" s="309" t="s">
        <v>38</v>
      </c>
      <c r="G17" s="309">
        <v>0</v>
      </c>
      <c r="H17" s="308" t="s">
        <v>430</v>
      </c>
      <c r="I17" s="309">
        <v>26</v>
      </c>
      <c r="J17" s="309" t="s">
        <v>785</v>
      </c>
      <c r="K17" s="308">
        <v>1070</v>
      </c>
      <c r="L17" s="310" t="s">
        <v>403</v>
      </c>
      <c r="M17" s="307">
        <v>140000</v>
      </c>
      <c r="N17" s="309" t="s">
        <v>80</v>
      </c>
      <c r="O17" s="309">
        <v>0.1</v>
      </c>
      <c r="P17" s="309">
        <v>0</v>
      </c>
      <c r="Q17" s="308" t="s">
        <v>43</v>
      </c>
      <c r="R17" s="308"/>
      <c r="S17" s="308"/>
      <c r="T17" s="308"/>
      <c r="U17" s="308"/>
      <c r="V17" s="308"/>
      <c r="W17" s="311">
        <f>Z17*I17*K17/2000</f>
        <v>0.005564000000000001</v>
      </c>
      <c r="X17" s="309" t="s">
        <v>42</v>
      </c>
      <c r="Y17" s="309">
        <v>3</v>
      </c>
      <c r="Z17" s="310">
        <v>0.0004</v>
      </c>
      <c r="AA17" s="307" t="s">
        <v>259</v>
      </c>
      <c r="AB17" s="312" t="s">
        <v>867</v>
      </c>
    </row>
    <row r="18" spans="1:28" ht="12.75">
      <c r="A18" s="306" t="s">
        <v>120</v>
      </c>
      <c r="B18" s="307">
        <v>13705</v>
      </c>
      <c r="C18" s="308" t="s">
        <v>823</v>
      </c>
      <c r="D18" s="309">
        <v>20200102</v>
      </c>
      <c r="E18" s="308" t="s">
        <v>868</v>
      </c>
      <c r="F18" s="309" t="s">
        <v>38</v>
      </c>
      <c r="G18" s="309">
        <v>0</v>
      </c>
      <c r="H18" s="308" t="s">
        <v>430</v>
      </c>
      <c r="I18" s="309">
        <v>26</v>
      </c>
      <c r="J18" s="309" t="s">
        <v>785</v>
      </c>
      <c r="K18" s="308">
        <v>1070</v>
      </c>
      <c r="L18" s="310" t="s">
        <v>403</v>
      </c>
      <c r="M18" s="307">
        <v>140000</v>
      </c>
      <c r="N18" s="309" t="s">
        <v>80</v>
      </c>
      <c r="O18" s="309">
        <v>0.1</v>
      </c>
      <c r="P18" s="309">
        <v>0</v>
      </c>
      <c r="Q18" s="308" t="s">
        <v>43</v>
      </c>
      <c r="R18" s="308"/>
      <c r="S18" s="308"/>
      <c r="T18" s="308"/>
      <c r="U18" s="308"/>
      <c r="V18" s="308"/>
      <c r="W18" s="311">
        <f>Z18*I18*K18/2000</f>
        <v>0.005564000000000001</v>
      </c>
      <c r="X18" s="309" t="s">
        <v>42</v>
      </c>
      <c r="Y18" s="309">
        <v>3</v>
      </c>
      <c r="Z18" s="310">
        <v>0.0004</v>
      </c>
      <c r="AA18" s="307" t="s">
        <v>862</v>
      </c>
      <c r="AB18" s="312" t="s">
        <v>867</v>
      </c>
    </row>
    <row r="19" spans="1:28" ht="12.75">
      <c r="A19" s="306" t="s">
        <v>120</v>
      </c>
      <c r="B19" s="307">
        <v>13707</v>
      </c>
      <c r="C19" s="308" t="s">
        <v>869</v>
      </c>
      <c r="D19" s="309">
        <v>20200102</v>
      </c>
      <c r="E19" s="308" t="s">
        <v>870</v>
      </c>
      <c r="F19" s="309" t="s">
        <v>38</v>
      </c>
      <c r="G19" s="309">
        <v>0</v>
      </c>
      <c r="H19" s="308" t="s">
        <v>430</v>
      </c>
      <c r="I19" s="309">
        <v>52</v>
      </c>
      <c r="J19" s="309" t="s">
        <v>785</v>
      </c>
      <c r="K19" s="308">
        <v>915</v>
      </c>
      <c r="L19" s="310" t="s">
        <v>403</v>
      </c>
      <c r="M19" s="307">
        <v>140000</v>
      </c>
      <c r="N19" s="309" t="s">
        <v>80</v>
      </c>
      <c r="O19" s="309">
        <v>0.1</v>
      </c>
      <c r="P19" s="309">
        <v>0</v>
      </c>
      <c r="Q19" s="308" t="s">
        <v>43</v>
      </c>
      <c r="R19" s="308"/>
      <c r="S19" s="308"/>
      <c r="T19" s="308"/>
      <c r="U19" s="308"/>
      <c r="V19" s="308"/>
      <c r="W19" s="311">
        <f>Z19*I19*K19/2000</f>
        <v>0.009516000000000002</v>
      </c>
      <c r="X19" s="309" t="s">
        <v>42</v>
      </c>
      <c r="Y19" s="309">
        <v>3</v>
      </c>
      <c r="Z19" s="310">
        <v>0.0004</v>
      </c>
      <c r="AA19" s="307" t="s">
        <v>862</v>
      </c>
      <c r="AB19" s="312" t="s">
        <v>867</v>
      </c>
    </row>
    <row r="20" spans="1:28" ht="12.75">
      <c r="A20" s="313" t="s">
        <v>120</v>
      </c>
      <c r="B20" s="309">
        <v>13709</v>
      </c>
      <c r="C20" s="308" t="s">
        <v>871</v>
      </c>
      <c r="D20" s="309">
        <v>20200102</v>
      </c>
      <c r="E20" s="308" t="s">
        <v>872</v>
      </c>
      <c r="F20" s="309" t="s">
        <v>38</v>
      </c>
      <c r="G20" s="309">
        <v>0</v>
      </c>
      <c r="H20" s="308" t="s">
        <v>430</v>
      </c>
      <c r="I20" s="309">
        <v>52</v>
      </c>
      <c r="J20" s="309" t="s">
        <v>785</v>
      </c>
      <c r="K20" s="308">
        <v>180</v>
      </c>
      <c r="L20" s="309" t="s">
        <v>403</v>
      </c>
      <c r="M20" s="309">
        <v>140000</v>
      </c>
      <c r="N20" s="309" t="s">
        <v>80</v>
      </c>
      <c r="O20" s="309">
        <v>0.1</v>
      </c>
      <c r="P20" s="309">
        <v>0</v>
      </c>
      <c r="Q20" s="308" t="s">
        <v>43</v>
      </c>
      <c r="R20" s="308"/>
      <c r="S20" s="308"/>
      <c r="T20" s="308"/>
      <c r="U20" s="308"/>
      <c r="V20" s="308"/>
      <c r="W20" s="311">
        <f>Z20*I20*K20/2000</f>
        <v>0.009594000000000002</v>
      </c>
      <c r="X20" s="309" t="s">
        <v>42</v>
      </c>
      <c r="Y20" s="309">
        <v>3</v>
      </c>
      <c r="Z20" s="309">
        <v>0.00205</v>
      </c>
      <c r="AA20" s="309" t="s">
        <v>862</v>
      </c>
      <c r="AB20" s="312" t="s">
        <v>867</v>
      </c>
    </row>
    <row r="21" spans="1:28" ht="13.5" thickBot="1">
      <c r="A21" s="314" t="s">
        <v>120</v>
      </c>
      <c r="B21" s="315">
        <v>13708</v>
      </c>
      <c r="C21" s="316">
        <v>18</v>
      </c>
      <c r="D21" s="315">
        <v>20200102</v>
      </c>
      <c r="E21" s="316" t="s">
        <v>873</v>
      </c>
      <c r="F21" s="315" t="s">
        <v>38</v>
      </c>
      <c r="G21" s="315">
        <v>0</v>
      </c>
      <c r="H21" s="316" t="s">
        <v>430</v>
      </c>
      <c r="I21" s="315">
        <v>52</v>
      </c>
      <c r="J21" s="315" t="s">
        <v>785</v>
      </c>
      <c r="K21" s="316">
        <v>167</v>
      </c>
      <c r="L21" s="315" t="s">
        <v>403</v>
      </c>
      <c r="M21" s="315">
        <v>140000</v>
      </c>
      <c r="N21" s="315" t="s">
        <v>80</v>
      </c>
      <c r="O21" s="315">
        <v>0.1</v>
      </c>
      <c r="P21" s="315">
        <v>0</v>
      </c>
      <c r="Q21" s="316" t="s">
        <v>43</v>
      </c>
      <c r="R21" s="316"/>
      <c r="S21" s="316"/>
      <c r="T21" s="316"/>
      <c r="U21" s="316"/>
      <c r="V21" s="316"/>
      <c r="W21" s="317">
        <f>Z21*I21*K21/2000</f>
        <v>0.008901100000000002</v>
      </c>
      <c r="X21" s="315"/>
      <c r="Y21" s="315">
        <v>3</v>
      </c>
      <c r="Z21" s="315">
        <v>0.00205</v>
      </c>
      <c r="AA21" s="315" t="s">
        <v>862</v>
      </c>
      <c r="AB21" s="318" t="s">
        <v>867</v>
      </c>
    </row>
    <row r="22" spans="1:28" ht="13.5" thickBot="1">
      <c r="A22" s="319"/>
      <c r="B22" s="320"/>
      <c r="C22" s="319"/>
      <c r="D22" s="320"/>
      <c r="E22" s="319"/>
      <c r="F22" s="320"/>
      <c r="G22" s="320"/>
      <c r="H22" s="319"/>
      <c r="I22" s="320"/>
      <c r="J22" s="320"/>
      <c r="K22" s="319"/>
      <c r="L22" s="320"/>
      <c r="M22" s="320"/>
      <c r="N22" s="320"/>
      <c r="O22" s="320"/>
      <c r="P22" s="320"/>
      <c r="Q22" s="319"/>
      <c r="R22" s="319"/>
      <c r="S22" s="319"/>
      <c r="T22" s="319"/>
      <c r="U22" s="319"/>
      <c r="V22" s="94" t="s">
        <v>86</v>
      </c>
      <c r="W22" s="218">
        <f>SUM(W9:W21)</f>
        <v>4959.822247116</v>
      </c>
      <c r="X22" s="320"/>
      <c r="Y22" s="320"/>
      <c r="Z22" s="320"/>
      <c r="AA22" s="320"/>
      <c r="AB22" s="319"/>
    </row>
    <row r="23" ht="13.5" thickTop="1">
      <c r="AC23" t="s">
        <v>874</v>
      </c>
    </row>
    <row r="24" ht="12.75">
      <c r="C24" s="59" t="s">
        <v>470</v>
      </c>
    </row>
    <row r="25" spans="3:4" ht="12.75">
      <c r="C25">
        <v>4026</v>
      </c>
      <c r="D25" t="s">
        <v>875</v>
      </c>
    </row>
    <row r="26" spans="3:4" ht="12.75">
      <c r="C26">
        <v>4027</v>
      </c>
      <c r="D26" t="s">
        <v>876</v>
      </c>
    </row>
    <row r="27" spans="3:4" ht="12.75">
      <c r="C27">
        <v>4028</v>
      </c>
      <c r="D27" t="s">
        <v>877</v>
      </c>
    </row>
    <row r="28" spans="3:4" ht="12.75">
      <c r="C28">
        <v>4029</v>
      </c>
      <c r="D28" t="s">
        <v>878</v>
      </c>
    </row>
    <row r="29" spans="3:4" ht="12.75">
      <c r="C29">
        <v>4030</v>
      </c>
      <c r="D29" t="s">
        <v>879</v>
      </c>
    </row>
    <row r="30" spans="3:4" ht="12.75">
      <c r="C30">
        <v>4031</v>
      </c>
      <c r="D30" t="s">
        <v>880</v>
      </c>
    </row>
    <row r="31" spans="3:4" ht="12.75">
      <c r="C31">
        <v>9228</v>
      </c>
      <c r="D31" t="s">
        <v>881</v>
      </c>
    </row>
    <row r="32" spans="3:4" ht="12.75">
      <c r="C32">
        <v>13693</v>
      </c>
      <c r="D32" t="s">
        <v>882</v>
      </c>
    </row>
    <row r="33" spans="3:4" ht="12.75">
      <c r="C33" t="s">
        <v>883</v>
      </c>
      <c r="D33" t="s">
        <v>884</v>
      </c>
    </row>
    <row r="34" spans="3:4" ht="12.75">
      <c r="C34">
        <v>13707</v>
      </c>
      <c r="D34" t="s">
        <v>885</v>
      </c>
    </row>
    <row r="35" spans="3:4" ht="12.75">
      <c r="C35">
        <v>13708</v>
      </c>
      <c r="D35" t="s">
        <v>886</v>
      </c>
    </row>
    <row r="36" spans="3:4" ht="12.75">
      <c r="C36">
        <v>13709</v>
      </c>
      <c r="D36" t="s">
        <v>887</v>
      </c>
    </row>
    <row r="37" ht="12.75">
      <c r="C37" t="s">
        <v>289</v>
      </c>
    </row>
    <row r="38" ht="12.75">
      <c r="D38" t="s">
        <v>888</v>
      </c>
    </row>
    <row r="39" ht="12.75">
      <c r="D39" t="s">
        <v>889</v>
      </c>
    </row>
    <row r="40" ht="12.75">
      <c r="D40" t="s">
        <v>890</v>
      </c>
    </row>
    <row r="41" ht="12.75">
      <c r="D41" t="s">
        <v>891</v>
      </c>
    </row>
    <row r="42" ht="12.75">
      <c r="D42" t="s">
        <v>892</v>
      </c>
    </row>
    <row r="43" ht="12.75">
      <c r="D43" t="s">
        <v>893</v>
      </c>
    </row>
    <row r="44" ht="12.75">
      <c r="D44" t="s">
        <v>894</v>
      </c>
    </row>
    <row r="45" ht="12.75">
      <c r="D45" t="s">
        <v>895</v>
      </c>
    </row>
    <row r="46" ht="12.75">
      <c r="D46" t="s">
        <v>896</v>
      </c>
    </row>
    <row r="47" ht="12.75">
      <c r="D47" t="s">
        <v>897</v>
      </c>
    </row>
    <row r="48" ht="12.75">
      <c r="D48" t="s">
        <v>898</v>
      </c>
    </row>
    <row r="49" ht="12.75">
      <c r="D49" t="s">
        <v>899</v>
      </c>
    </row>
    <row r="50" ht="12.75">
      <c r="D50" t="s">
        <v>900</v>
      </c>
    </row>
    <row r="51" ht="12.75">
      <c r="D51" t="s">
        <v>901</v>
      </c>
    </row>
    <row r="52" ht="12.75">
      <c r="D52" t="s">
        <v>902</v>
      </c>
    </row>
    <row r="53" ht="12.75">
      <c r="D53" t="s">
        <v>903</v>
      </c>
    </row>
  </sheetData>
  <mergeCells count="24">
    <mergeCell ref="A6:A8"/>
    <mergeCell ref="B6:B8"/>
    <mergeCell ref="C6:C8"/>
    <mergeCell ref="D6:D8"/>
    <mergeCell ref="E6:E8"/>
    <mergeCell ref="F6:F8"/>
    <mergeCell ref="G6:G8"/>
    <mergeCell ref="H6:H8"/>
    <mergeCell ref="I6:L7"/>
    <mergeCell ref="M6:P7"/>
    <mergeCell ref="Q6:Q8"/>
    <mergeCell ref="R6:S6"/>
    <mergeCell ref="R7:R8"/>
    <mergeCell ref="S7:S8"/>
    <mergeCell ref="T6:U6"/>
    <mergeCell ref="V6:V8"/>
    <mergeCell ref="W6:W8"/>
    <mergeCell ref="X6:X8"/>
    <mergeCell ref="T7:T8"/>
    <mergeCell ref="U7:U8"/>
    <mergeCell ref="Y6:Y8"/>
    <mergeCell ref="Z6:Z8"/>
    <mergeCell ref="AA6:AA8"/>
    <mergeCell ref="AB6:AB8"/>
  </mergeCells>
  <printOptions horizontalCentered="1"/>
  <pageMargins left="0.32" right="0.16" top="1.48" bottom="1.18" header="0.5" footer="0.5"/>
  <pageSetup horizontalDpi="600" verticalDpi="600" orientation="landscape" pageOrder="overThenDown" r:id="rId1"/>
  <headerFooter alignWithMargins="0">
    <oddHeader>&amp;L
PacifiCorp
Site:  Hunter Power Plant
Site ID:  10237&amp;CRegional Haze
2000 Statewide SOx Sources</oddHeader>
    <oddFooter>&amp;R&amp;D
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N45"/>
  <sheetViews>
    <sheetView workbookViewId="0" topLeftCell="A1">
      <selection activeCell="E4" sqref="E4"/>
    </sheetView>
  </sheetViews>
  <sheetFormatPr defaultColWidth="9.140625" defaultRowHeight="12.75"/>
  <cols>
    <col min="1" max="2" width="8.00390625" style="0" customWidth="1"/>
    <col min="3" max="3" width="9.57421875" style="0" customWidth="1"/>
    <col min="4" max="4" width="9.8515625" style="0" customWidth="1"/>
    <col min="5" max="5" width="23.7109375" style="0" customWidth="1"/>
    <col min="6" max="6" width="6.00390625" style="0" customWidth="1"/>
    <col min="7" max="7" width="10.7109375" style="0" customWidth="1"/>
    <col min="8" max="8" width="15.421875" style="0" customWidth="1"/>
    <col min="9" max="9" width="8.00390625" style="0" customWidth="1"/>
    <col min="10" max="10" width="11.140625" style="0" customWidth="1"/>
    <col min="11" max="11" width="7.7109375" style="0" customWidth="1"/>
    <col min="12" max="12" width="9.7109375" style="0" customWidth="1"/>
    <col min="13" max="13" width="8.140625" style="0" customWidth="1"/>
    <col min="14" max="14" width="8.421875" style="0" customWidth="1"/>
    <col min="15" max="15" width="6.57421875" style="0" customWidth="1"/>
    <col min="16" max="16" width="5.00390625" style="0" customWidth="1"/>
    <col min="18" max="18" width="15.00390625" style="0" customWidth="1"/>
    <col min="20" max="20" width="18.140625" style="0" customWidth="1"/>
    <col min="22" max="22" width="9.8515625" style="0" customWidth="1"/>
    <col min="23" max="23" width="11.7109375" style="0" customWidth="1"/>
    <col min="24" max="24" width="0.13671875" style="0" hidden="1" customWidth="1"/>
    <col min="25" max="25" width="9.57421875" style="0" customWidth="1"/>
    <col min="26" max="26" width="8.57421875" style="0" customWidth="1"/>
    <col min="27" max="27" width="8.7109375" style="0" customWidth="1"/>
    <col min="28" max="28" width="10.8515625" style="0" customWidth="1"/>
    <col min="29" max="29" width="21.28125" style="0" customWidth="1"/>
  </cols>
  <sheetData>
    <row r="1" spans="1:5" ht="15.75">
      <c r="A1" s="59" t="s">
        <v>532</v>
      </c>
      <c r="B1" s="59"/>
      <c r="E1" s="4" t="s">
        <v>1</v>
      </c>
    </row>
    <row r="2" spans="1:5" ht="15">
      <c r="A2" s="59"/>
      <c r="B2" s="59"/>
      <c r="E2" s="142" t="s">
        <v>95</v>
      </c>
    </row>
    <row r="3" spans="1:2" ht="12.75">
      <c r="A3" s="59" t="s">
        <v>291</v>
      </c>
      <c r="B3" s="59" t="s">
        <v>533</v>
      </c>
    </row>
    <row r="4" spans="1:2" ht="12.75">
      <c r="A4" s="181">
        <v>10123</v>
      </c>
      <c r="B4" s="59" t="s">
        <v>534</v>
      </c>
    </row>
    <row r="5" ht="13.5" thickBot="1"/>
    <row r="6" spans="1:66" ht="16.5" customHeight="1">
      <c r="A6" s="401" t="s">
        <v>5</v>
      </c>
      <c r="B6" s="404" t="s">
        <v>6</v>
      </c>
      <c r="C6" s="399" t="s">
        <v>7</v>
      </c>
      <c r="D6" s="399" t="s">
        <v>8</v>
      </c>
      <c r="E6" s="399" t="s">
        <v>9</v>
      </c>
      <c r="F6" s="399" t="s">
        <v>10</v>
      </c>
      <c r="G6" s="399" t="s">
        <v>11</v>
      </c>
      <c r="H6" s="399" t="s">
        <v>12</v>
      </c>
      <c r="I6" s="426" t="s">
        <v>13</v>
      </c>
      <c r="J6" s="439"/>
      <c r="K6" s="439"/>
      <c r="L6" s="440"/>
      <c r="M6" s="418" t="s">
        <v>14</v>
      </c>
      <c r="N6" s="439"/>
      <c r="O6" s="439"/>
      <c r="P6" s="530"/>
      <c r="Q6" s="404" t="s">
        <v>15</v>
      </c>
      <c r="R6" s="426" t="s">
        <v>16</v>
      </c>
      <c r="S6" s="426"/>
      <c r="T6" s="426" t="s">
        <v>17</v>
      </c>
      <c r="U6" s="426"/>
      <c r="V6" s="399" t="s">
        <v>18</v>
      </c>
      <c r="W6" s="527" t="s">
        <v>99</v>
      </c>
      <c r="X6" s="487"/>
      <c r="Y6" s="367" t="s">
        <v>100</v>
      </c>
      <c r="Z6" s="367" t="s">
        <v>21</v>
      </c>
      <c r="AA6" s="367" t="s">
        <v>22</v>
      </c>
      <c r="AB6" s="367" t="s">
        <v>23</v>
      </c>
      <c r="AC6" s="466" t="s">
        <v>24</v>
      </c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</row>
    <row r="7" spans="1:66" s="9" customFormat="1" ht="24.75" customHeight="1">
      <c r="A7" s="427"/>
      <c r="B7" s="419"/>
      <c r="C7" s="429"/>
      <c r="D7" s="429"/>
      <c r="E7" s="429"/>
      <c r="F7" s="429"/>
      <c r="G7" s="429"/>
      <c r="H7" s="429"/>
      <c r="I7" s="429"/>
      <c r="J7" s="429"/>
      <c r="K7" s="429"/>
      <c r="L7" s="441"/>
      <c r="M7" s="419"/>
      <c r="N7" s="429"/>
      <c r="O7" s="429"/>
      <c r="P7" s="531"/>
      <c r="Q7" s="470"/>
      <c r="R7" s="63" t="s">
        <v>29</v>
      </c>
      <c r="S7" s="63" t="s">
        <v>30</v>
      </c>
      <c r="T7" s="63" t="s">
        <v>31</v>
      </c>
      <c r="U7" s="63" t="s">
        <v>30</v>
      </c>
      <c r="V7" s="63"/>
      <c r="W7" s="528"/>
      <c r="X7" s="529"/>
      <c r="Y7" s="450"/>
      <c r="Z7" s="450"/>
      <c r="AA7" s="450"/>
      <c r="AB7" s="450"/>
      <c r="AC7" s="467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</row>
    <row r="8" spans="1:66" ht="25.5" customHeight="1" thickBot="1">
      <c r="A8" s="428"/>
      <c r="B8" s="420"/>
      <c r="C8" s="430"/>
      <c r="D8" s="430"/>
      <c r="E8" s="430"/>
      <c r="F8" s="430"/>
      <c r="G8" s="430"/>
      <c r="H8" s="430"/>
      <c r="I8" s="58" t="s">
        <v>32</v>
      </c>
      <c r="J8" s="58" t="s">
        <v>33</v>
      </c>
      <c r="K8" s="58" t="s">
        <v>34</v>
      </c>
      <c r="L8" s="111" t="s">
        <v>26</v>
      </c>
      <c r="M8" s="112" t="s">
        <v>25</v>
      </c>
      <c r="N8" s="58" t="s">
        <v>26</v>
      </c>
      <c r="O8" s="58" t="s">
        <v>27</v>
      </c>
      <c r="P8" s="182" t="s">
        <v>28</v>
      </c>
      <c r="Q8" s="471"/>
      <c r="R8" s="377"/>
      <c r="S8" s="377"/>
      <c r="T8" s="425"/>
      <c r="U8" s="377"/>
      <c r="V8" s="377"/>
      <c r="W8" s="528"/>
      <c r="X8" s="529"/>
      <c r="Y8" s="450"/>
      <c r="Z8" s="450"/>
      <c r="AA8" s="450"/>
      <c r="AB8" s="450"/>
      <c r="AC8" s="46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</row>
    <row r="9" spans="1:30" s="9" customFormat="1" ht="14.25">
      <c r="A9" s="98">
        <v>3</v>
      </c>
      <c r="B9" s="101">
        <v>3931</v>
      </c>
      <c r="C9" s="144" t="s">
        <v>484</v>
      </c>
      <c r="D9" s="101">
        <v>30600106</v>
      </c>
      <c r="E9" s="101" t="s">
        <v>485</v>
      </c>
      <c r="F9" s="101" t="s">
        <v>294</v>
      </c>
      <c r="G9" s="183" t="str">
        <f>C9</f>
        <v>04--1</v>
      </c>
      <c r="H9" s="101" t="s">
        <v>486</v>
      </c>
      <c r="I9" s="101">
        <v>312</v>
      </c>
      <c r="J9" s="101" t="s">
        <v>535</v>
      </c>
      <c r="K9" s="101">
        <v>78.8</v>
      </c>
      <c r="L9" s="101" t="s">
        <v>536</v>
      </c>
      <c r="M9" s="101">
        <v>1013</v>
      </c>
      <c r="N9" s="101" t="s">
        <v>60</v>
      </c>
      <c r="O9" s="101">
        <v>0</v>
      </c>
      <c r="P9" s="101">
        <v>0</v>
      </c>
      <c r="Q9" s="101" t="s">
        <v>299</v>
      </c>
      <c r="R9" s="101" t="s">
        <v>103</v>
      </c>
      <c r="S9" s="101">
        <v>0</v>
      </c>
      <c r="T9" s="101" t="s">
        <v>103</v>
      </c>
      <c r="U9" s="101">
        <v>0</v>
      </c>
      <c r="V9" s="101" t="s">
        <v>103</v>
      </c>
      <c r="W9" s="144">
        <f aca="true" t="shared" si="0" ref="W9:W21">(AA9*I9)/2000</f>
        <v>0.45817199999999997</v>
      </c>
      <c r="X9" s="144"/>
      <c r="Y9" s="101" t="s">
        <v>103</v>
      </c>
      <c r="Z9" s="101">
        <v>1</v>
      </c>
      <c r="AA9" s="101">
        <v>2.937</v>
      </c>
      <c r="AB9" s="101" t="s">
        <v>537</v>
      </c>
      <c r="AC9" s="146" t="s">
        <v>214</v>
      </c>
      <c r="AD9" s="184"/>
    </row>
    <row r="10" spans="1:30" s="9" customFormat="1" ht="14.25">
      <c r="A10" s="83">
        <v>3</v>
      </c>
      <c r="B10" s="86">
        <v>4337</v>
      </c>
      <c r="C10" s="86" t="s">
        <v>487</v>
      </c>
      <c r="D10" s="86">
        <v>30600106</v>
      </c>
      <c r="E10" s="86" t="s">
        <v>488</v>
      </c>
      <c r="F10" s="86" t="s">
        <v>294</v>
      </c>
      <c r="G10" s="185" t="str">
        <f aca="true" t="shared" si="1" ref="G10:G23">C10</f>
        <v>06--1</v>
      </c>
      <c r="H10" s="86" t="s">
        <v>486</v>
      </c>
      <c r="I10" s="86">
        <v>409</v>
      </c>
      <c r="J10" s="86" t="s">
        <v>535</v>
      </c>
      <c r="K10" s="86">
        <v>50.1</v>
      </c>
      <c r="L10" s="86" t="s">
        <v>536</v>
      </c>
      <c r="M10" s="86">
        <v>1013</v>
      </c>
      <c r="N10" s="86" t="s">
        <v>60</v>
      </c>
      <c r="O10" s="86">
        <v>0</v>
      </c>
      <c r="P10" s="86">
        <v>0</v>
      </c>
      <c r="Q10" s="86" t="s">
        <v>299</v>
      </c>
      <c r="R10" s="86" t="s">
        <v>103</v>
      </c>
      <c r="S10" s="86">
        <v>0</v>
      </c>
      <c r="T10" s="86" t="s">
        <v>103</v>
      </c>
      <c r="U10" s="86">
        <v>0</v>
      </c>
      <c r="V10" s="86" t="s">
        <v>103</v>
      </c>
      <c r="W10" s="147">
        <f t="shared" si="0"/>
        <v>0.6006165</v>
      </c>
      <c r="X10" s="147"/>
      <c r="Y10" s="86" t="s">
        <v>103</v>
      </c>
      <c r="Z10" s="86">
        <v>1</v>
      </c>
      <c r="AA10" s="86">
        <v>2.937</v>
      </c>
      <c r="AB10" s="86" t="s">
        <v>537</v>
      </c>
      <c r="AC10" s="149" t="s">
        <v>214</v>
      </c>
      <c r="AD10" s="186"/>
    </row>
    <row r="11" spans="1:30" s="9" customFormat="1" ht="14.25">
      <c r="A11" s="83">
        <v>3</v>
      </c>
      <c r="B11" s="86">
        <v>3936</v>
      </c>
      <c r="C11" s="86" t="s">
        <v>489</v>
      </c>
      <c r="D11" s="86">
        <v>30600106</v>
      </c>
      <c r="E11" s="86" t="s">
        <v>490</v>
      </c>
      <c r="F11" s="86" t="s">
        <v>294</v>
      </c>
      <c r="G11" s="185" t="str">
        <f t="shared" si="1"/>
        <v>06--2</v>
      </c>
      <c r="H11" s="86" t="s">
        <v>486</v>
      </c>
      <c r="I11" s="86">
        <v>127</v>
      </c>
      <c r="J11" s="86" t="s">
        <v>535</v>
      </c>
      <c r="K11" s="86">
        <v>29.1</v>
      </c>
      <c r="L11" s="86" t="s">
        <v>536</v>
      </c>
      <c r="M11" s="86">
        <v>1013</v>
      </c>
      <c r="N11" s="86" t="s">
        <v>60</v>
      </c>
      <c r="O11" s="86">
        <v>0</v>
      </c>
      <c r="P11" s="86">
        <v>0</v>
      </c>
      <c r="Q11" s="86" t="s">
        <v>299</v>
      </c>
      <c r="R11" s="86" t="s">
        <v>103</v>
      </c>
      <c r="S11" s="86">
        <v>0</v>
      </c>
      <c r="T11" s="86" t="s">
        <v>103</v>
      </c>
      <c r="U11" s="86">
        <v>0</v>
      </c>
      <c r="V11" s="86" t="s">
        <v>103</v>
      </c>
      <c r="W11" s="147">
        <f t="shared" si="0"/>
        <v>0.18649949999999998</v>
      </c>
      <c r="X11" s="147"/>
      <c r="Y11" s="86" t="s">
        <v>103</v>
      </c>
      <c r="Z11" s="86">
        <v>1</v>
      </c>
      <c r="AA11" s="86">
        <v>2.937</v>
      </c>
      <c r="AB11" s="86" t="s">
        <v>537</v>
      </c>
      <c r="AC11" s="149" t="s">
        <v>214</v>
      </c>
      <c r="AD11" s="186"/>
    </row>
    <row r="12" spans="1:30" s="9" customFormat="1" ht="14.25">
      <c r="A12" s="83">
        <v>3</v>
      </c>
      <c r="B12" s="86">
        <v>3937</v>
      </c>
      <c r="C12" s="86" t="s">
        <v>491</v>
      </c>
      <c r="D12" s="86">
        <v>30600106</v>
      </c>
      <c r="E12" s="86" t="s">
        <v>490</v>
      </c>
      <c r="F12" s="86" t="s">
        <v>294</v>
      </c>
      <c r="G12" s="185" t="str">
        <f t="shared" si="1"/>
        <v>06--3</v>
      </c>
      <c r="H12" s="86" t="s">
        <v>486</v>
      </c>
      <c r="I12" s="86">
        <v>47</v>
      </c>
      <c r="J12" s="86" t="s">
        <v>535</v>
      </c>
      <c r="K12" s="86">
        <v>11</v>
      </c>
      <c r="L12" s="86" t="s">
        <v>536</v>
      </c>
      <c r="M12" s="86">
        <v>1013</v>
      </c>
      <c r="N12" s="86" t="s">
        <v>60</v>
      </c>
      <c r="O12" s="86">
        <v>0</v>
      </c>
      <c r="P12" s="86">
        <v>0</v>
      </c>
      <c r="Q12" s="86" t="s">
        <v>299</v>
      </c>
      <c r="R12" s="86" t="s">
        <v>103</v>
      </c>
      <c r="S12" s="86">
        <v>0</v>
      </c>
      <c r="T12" s="86" t="s">
        <v>103</v>
      </c>
      <c r="U12" s="86">
        <v>0</v>
      </c>
      <c r="V12" s="86" t="s">
        <v>103</v>
      </c>
      <c r="W12" s="147">
        <f t="shared" si="0"/>
        <v>0.0690195</v>
      </c>
      <c r="X12" s="147"/>
      <c r="Y12" s="86" t="s">
        <v>103</v>
      </c>
      <c r="Z12" s="86">
        <v>1</v>
      </c>
      <c r="AA12" s="86">
        <v>2.937</v>
      </c>
      <c r="AB12" s="86" t="s">
        <v>537</v>
      </c>
      <c r="AC12" s="149" t="s">
        <v>214</v>
      </c>
      <c r="AD12" s="186"/>
    </row>
    <row r="13" spans="1:30" s="9" customFormat="1" ht="14.25">
      <c r="A13" s="83">
        <v>3</v>
      </c>
      <c r="B13" s="86">
        <v>3393</v>
      </c>
      <c r="C13" s="86" t="s">
        <v>492</v>
      </c>
      <c r="D13" s="86">
        <v>30600106</v>
      </c>
      <c r="E13" s="86" t="s">
        <v>493</v>
      </c>
      <c r="F13" s="86" t="s">
        <v>294</v>
      </c>
      <c r="G13" s="185" t="str">
        <f t="shared" si="1"/>
        <v>07--1</v>
      </c>
      <c r="H13" s="86" t="s">
        <v>486</v>
      </c>
      <c r="I13" s="86">
        <v>173</v>
      </c>
      <c r="J13" s="86" t="s">
        <v>535</v>
      </c>
      <c r="K13" s="86">
        <v>32</v>
      </c>
      <c r="L13" s="86" t="s">
        <v>536</v>
      </c>
      <c r="M13" s="86">
        <v>1013</v>
      </c>
      <c r="N13" s="86" t="s">
        <v>60</v>
      </c>
      <c r="O13" s="86">
        <v>0</v>
      </c>
      <c r="P13" s="86">
        <v>0</v>
      </c>
      <c r="Q13" s="86" t="s">
        <v>299</v>
      </c>
      <c r="R13" s="86" t="s">
        <v>103</v>
      </c>
      <c r="S13" s="86">
        <v>0</v>
      </c>
      <c r="T13" s="86" t="s">
        <v>103</v>
      </c>
      <c r="U13" s="86">
        <v>0</v>
      </c>
      <c r="V13" s="86" t="s">
        <v>103</v>
      </c>
      <c r="W13" s="147">
        <f t="shared" si="0"/>
        <v>0.2540505</v>
      </c>
      <c r="X13" s="147"/>
      <c r="Y13" s="86" t="s">
        <v>103</v>
      </c>
      <c r="Z13" s="86">
        <v>1</v>
      </c>
      <c r="AA13" s="86">
        <v>2.937</v>
      </c>
      <c r="AB13" s="86" t="s">
        <v>537</v>
      </c>
      <c r="AC13" s="149" t="s">
        <v>214</v>
      </c>
      <c r="AD13" s="186"/>
    </row>
    <row r="14" spans="1:30" s="9" customFormat="1" ht="14.25">
      <c r="A14" s="83">
        <v>3</v>
      </c>
      <c r="B14" s="86">
        <v>13855</v>
      </c>
      <c r="C14" s="86" t="s">
        <v>494</v>
      </c>
      <c r="D14" s="86">
        <v>30600106</v>
      </c>
      <c r="E14" s="86" t="s">
        <v>493</v>
      </c>
      <c r="F14" s="86" t="s">
        <v>294</v>
      </c>
      <c r="G14" s="185" t="str">
        <f t="shared" si="1"/>
        <v>07--2</v>
      </c>
      <c r="H14" s="86" t="s">
        <v>486</v>
      </c>
      <c r="I14" s="86">
        <v>3.7</v>
      </c>
      <c r="J14" s="86" t="s">
        <v>535</v>
      </c>
      <c r="K14" s="86">
        <v>3.9</v>
      </c>
      <c r="L14" s="86" t="s">
        <v>536</v>
      </c>
      <c r="M14" s="86">
        <v>1013</v>
      </c>
      <c r="N14" s="86" t="s">
        <v>60</v>
      </c>
      <c r="O14" s="86">
        <v>0</v>
      </c>
      <c r="P14" s="86">
        <v>0</v>
      </c>
      <c r="Q14" s="86" t="s">
        <v>299</v>
      </c>
      <c r="R14" s="86" t="s">
        <v>103</v>
      </c>
      <c r="S14" s="86">
        <v>0</v>
      </c>
      <c r="T14" s="86" t="s">
        <v>103</v>
      </c>
      <c r="U14" s="86">
        <v>0</v>
      </c>
      <c r="V14" s="86" t="s">
        <v>103</v>
      </c>
      <c r="W14" s="147">
        <f t="shared" si="0"/>
        <v>0.005433449999999999</v>
      </c>
      <c r="X14" s="147"/>
      <c r="Y14" s="86" t="s">
        <v>103</v>
      </c>
      <c r="Z14" s="86">
        <v>1</v>
      </c>
      <c r="AA14" s="86">
        <v>2.937</v>
      </c>
      <c r="AB14" s="86" t="s">
        <v>537</v>
      </c>
      <c r="AC14" s="149" t="s">
        <v>214</v>
      </c>
      <c r="AD14" s="186"/>
    </row>
    <row r="15" spans="1:30" s="9" customFormat="1" ht="14.25">
      <c r="A15" s="83">
        <v>3</v>
      </c>
      <c r="B15" s="86">
        <v>3938</v>
      </c>
      <c r="C15" s="86" t="s">
        <v>495</v>
      </c>
      <c r="D15" s="86">
        <v>30600106</v>
      </c>
      <c r="E15" s="86" t="s">
        <v>496</v>
      </c>
      <c r="F15" s="86" t="s">
        <v>294</v>
      </c>
      <c r="G15" s="185" t="str">
        <f t="shared" si="1"/>
        <v>08--1</v>
      </c>
      <c r="H15" s="86" t="s">
        <v>486</v>
      </c>
      <c r="I15" s="86">
        <v>641</v>
      </c>
      <c r="J15" s="86" t="s">
        <v>535</v>
      </c>
      <c r="K15" s="86">
        <v>83.7</v>
      </c>
      <c r="L15" s="86" t="s">
        <v>536</v>
      </c>
      <c r="M15" s="86">
        <v>1013</v>
      </c>
      <c r="N15" s="86" t="s">
        <v>60</v>
      </c>
      <c r="O15" s="86">
        <v>0</v>
      </c>
      <c r="P15" s="86">
        <v>0</v>
      </c>
      <c r="Q15" s="86" t="s">
        <v>299</v>
      </c>
      <c r="R15" s="86" t="s">
        <v>103</v>
      </c>
      <c r="S15" s="86">
        <v>0</v>
      </c>
      <c r="T15" s="86" t="s">
        <v>103</v>
      </c>
      <c r="U15" s="86">
        <v>0</v>
      </c>
      <c r="V15" s="86" t="s">
        <v>103</v>
      </c>
      <c r="W15" s="147">
        <f t="shared" si="0"/>
        <v>0.9413085</v>
      </c>
      <c r="X15" s="147"/>
      <c r="Y15" s="86" t="s">
        <v>103</v>
      </c>
      <c r="Z15" s="86">
        <v>1</v>
      </c>
      <c r="AA15" s="86">
        <v>2.937</v>
      </c>
      <c r="AB15" s="86" t="s">
        <v>537</v>
      </c>
      <c r="AC15" s="149" t="s">
        <v>214</v>
      </c>
      <c r="AD15" s="186"/>
    </row>
    <row r="16" spans="1:30" s="9" customFormat="1" ht="14.25">
      <c r="A16" s="83">
        <v>3</v>
      </c>
      <c r="B16" s="86">
        <v>2677</v>
      </c>
      <c r="C16" s="86" t="s">
        <v>497</v>
      </c>
      <c r="D16" s="86">
        <v>30600106</v>
      </c>
      <c r="E16" s="86" t="s">
        <v>498</v>
      </c>
      <c r="F16" s="86" t="s">
        <v>294</v>
      </c>
      <c r="G16" s="185" t="str">
        <f t="shared" si="1"/>
        <v>09--1</v>
      </c>
      <c r="H16" s="86" t="s">
        <v>486</v>
      </c>
      <c r="I16" s="86">
        <v>45</v>
      </c>
      <c r="J16" s="86" t="s">
        <v>535</v>
      </c>
      <c r="K16" s="86">
        <v>7.1</v>
      </c>
      <c r="L16" s="86" t="s">
        <v>536</v>
      </c>
      <c r="M16" s="86">
        <v>1013</v>
      </c>
      <c r="N16" s="86" t="s">
        <v>60</v>
      </c>
      <c r="O16" s="86">
        <v>0</v>
      </c>
      <c r="P16" s="86">
        <v>0</v>
      </c>
      <c r="Q16" s="86" t="s">
        <v>299</v>
      </c>
      <c r="R16" s="86" t="s">
        <v>103</v>
      </c>
      <c r="S16" s="86">
        <v>0</v>
      </c>
      <c r="T16" s="86" t="s">
        <v>103</v>
      </c>
      <c r="U16" s="86">
        <v>0</v>
      </c>
      <c r="V16" s="86" t="s">
        <v>103</v>
      </c>
      <c r="W16" s="147">
        <f t="shared" si="0"/>
        <v>0.0660825</v>
      </c>
      <c r="X16" s="147"/>
      <c r="Y16" s="86" t="s">
        <v>103</v>
      </c>
      <c r="Z16" s="86">
        <v>1</v>
      </c>
      <c r="AA16" s="86">
        <v>2.937</v>
      </c>
      <c r="AB16" s="86" t="s">
        <v>537</v>
      </c>
      <c r="AC16" s="149" t="s">
        <v>214</v>
      </c>
      <c r="AD16" s="186"/>
    </row>
    <row r="17" spans="1:30" s="9" customFormat="1" ht="14.25">
      <c r="A17" s="83">
        <v>3</v>
      </c>
      <c r="B17" s="86">
        <v>3394</v>
      </c>
      <c r="C17" s="86" t="s">
        <v>499</v>
      </c>
      <c r="D17" s="86">
        <v>30600106</v>
      </c>
      <c r="E17" s="86" t="s">
        <v>500</v>
      </c>
      <c r="F17" s="86" t="s">
        <v>294</v>
      </c>
      <c r="G17" s="185" t="str">
        <f t="shared" si="1"/>
        <v>09--2</v>
      </c>
      <c r="H17" s="86" t="s">
        <v>486</v>
      </c>
      <c r="I17" s="86">
        <v>16</v>
      </c>
      <c r="J17" s="86" t="s">
        <v>535</v>
      </c>
      <c r="K17" s="86">
        <v>2.4</v>
      </c>
      <c r="L17" s="86" t="s">
        <v>536</v>
      </c>
      <c r="M17" s="86">
        <v>1013</v>
      </c>
      <c r="N17" s="86" t="s">
        <v>60</v>
      </c>
      <c r="O17" s="86">
        <v>0</v>
      </c>
      <c r="P17" s="86">
        <v>0</v>
      </c>
      <c r="Q17" s="86" t="s">
        <v>299</v>
      </c>
      <c r="R17" s="86" t="s">
        <v>103</v>
      </c>
      <c r="S17" s="86">
        <v>0</v>
      </c>
      <c r="T17" s="86" t="s">
        <v>103</v>
      </c>
      <c r="U17" s="86">
        <v>0</v>
      </c>
      <c r="V17" s="86" t="s">
        <v>103</v>
      </c>
      <c r="W17" s="147">
        <f t="shared" si="0"/>
        <v>0.023496</v>
      </c>
      <c r="X17" s="147"/>
      <c r="Y17" s="86" t="s">
        <v>103</v>
      </c>
      <c r="Z17" s="86">
        <v>1</v>
      </c>
      <c r="AA17" s="86">
        <v>2.937</v>
      </c>
      <c r="AB17" s="86" t="s">
        <v>537</v>
      </c>
      <c r="AC17" s="149" t="s">
        <v>214</v>
      </c>
      <c r="AD17" s="186"/>
    </row>
    <row r="18" spans="1:30" s="9" customFormat="1" ht="14.25">
      <c r="A18" s="83">
        <v>3</v>
      </c>
      <c r="B18" s="86">
        <v>3395</v>
      </c>
      <c r="C18" s="86" t="s">
        <v>501</v>
      </c>
      <c r="D18" s="86">
        <v>30600106</v>
      </c>
      <c r="E18" s="86" t="s">
        <v>502</v>
      </c>
      <c r="F18" s="86" t="s">
        <v>294</v>
      </c>
      <c r="G18" s="185" t="str">
        <f t="shared" si="1"/>
        <v>10--2</v>
      </c>
      <c r="H18" s="86" t="s">
        <v>486</v>
      </c>
      <c r="I18" s="86">
        <v>96</v>
      </c>
      <c r="J18" s="86" t="s">
        <v>535</v>
      </c>
      <c r="K18" s="86">
        <v>10.8</v>
      </c>
      <c r="L18" s="86" t="s">
        <v>536</v>
      </c>
      <c r="M18" s="86">
        <v>1013</v>
      </c>
      <c r="N18" s="86" t="s">
        <v>60</v>
      </c>
      <c r="O18" s="86">
        <v>0</v>
      </c>
      <c r="P18" s="86">
        <v>0</v>
      </c>
      <c r="Q18" s="86" t="s">
        <v>299</v>
      </c>
      <c r="R18" s="86" t="s">
        <v>103</v>
      </c>
      <c r="S18" s="86">
        <v>0</v>
      </c>
      <c r="T18" s="86" t="s">
        <v>103</v>
      </c>
      <c r="U18" s="86">
        <v>0</v>
      </c>
      <c r="V18" s="86" t="s">
        <v>103</v>
      </c>
      <c r="W18" s="147">
        <f t="shared" si="0"/>
        <v>0.140976</v>
      </c>
      <c r="X18" s="147"/>
      <c r="Y18" s="86" t="s">
        <v>103</v>
      </c>
      <c r="Z18" s="86">
        <v>1</v>
      </c>
      <c r="AA18" s="86">
        <v>2.937</v>
      </c>
      <c r="AB18" s="86" t="s">
        <v>537</v>
      </c>
      <c r="AC18" s="149" t="s">
        <v>214</v>
      </c>
      <c r="AD18" s="186"/>
    </row>
    <row r="19" spans="1:30" s="9" customFormat="1" ht="14.25">
      <c r="A19" s="83">
        <v>3</v>
      </c>
      <c r="B19" s="86">
        <v>3704</v>
      </c>
      <c r="C19" s="86" t="s">
        <v>503</v>
      </c>
      <c r="D19" s="86">
        <v>30600106</v>
      </c>
      <c r="E19" s="86" t="s">
        <v>295</v>
      </c>
      <c r="F19" s="86" t="s">
        <v>294</v>
      </c>
      <c r="G19" s="185" t="str">
        <f t="shared" si="1"/>
        <v>11--1</v>
      </c>
      <c r="H19" s="86" t="s">
        <v>486</v>
      </c>
      <c r="I19" s="86">
        <v>47</v>
      </c>
      <c r="J19" s="86" t="s">
        <v>535</v>
      </c>
      <c r="K19" s="86">
        <v>18.5</v>
      </c>
      <c r="L19" s="86" t="s">
        <v>536</v>
      </c>
      <c r="M19" s="86">
        <v>1013</v>
      </c>
      <c r="N19" s="86" t="s">
        <v>60</v>
      </c>
      <c r="O19" s="86">
        <v>0</v>
      </c>
      <c r="P19" s="86">
        <v>0</v>
      </c>
      <c r="Q19" s="86" t="s">
        <v>299</v>
      </c>
      <c r="R19" s="86" t="s">
        <v>103</v>
      </c>
      <c r="S19" s="86">
        <v>0</v>
      </c>
      <c r="T19" s="86" t="s">
        <v>103</v>
      </c>
      <c r="U19" s="86">
        <v>0</v>
      </c>
      <c r="V19" s="86" t="s">
        <v>103</v>
      </c>
      <c r="W19" s="147">
        <f t="shared" si="0"/>
        <v>0.0690195</v>
      </c>
      <c r="X19" s="147"/>
      <c r="Y19" s="86" t="s">
        <v>103</v>
      </c>
      <c r="Z19" s="86">
        <v>1</v>
      </c>
      <c r="AA19" s="86">
        <v>2.937</v>
      </c>
      <c r="AB19" s="86" t="s">
        <v>537</v>
      </c>
      <c r="AC19" s="149" t="s">
        <v>214</v>
      </c>
      <c r="AD19" s="186"/>
    </row>
    <row r="20" spans="1:30" s="9" customFormat="1" ht="14.25">
      <c r="A20" s="83">
        <v>3</v>
      </c>
      <c r="B20" s="86">
        <v>3940</v>
      </c>
      <c r="C20" s="86" t="s">
        <v>504</v>
      </c>
      <c r="D20" s="86">
        <v>30600106</v>
      </c>
      <c r="E20" s="86" t="s">
        <v>505</v>
      </c>
      <c r="F20" s="86" t="s">
        <v>294</v>
      </c>
      <c r="G20" s="185" t="str">
        <f t="shared" si="1"/>
        <v>12--1</v>
      </c>
      <c r="H20" s="86" t="s">
        <v>486</v>
      </c>
      <c r="I20" s="86">
        <v>228</v>
      </c>
      <c r="J20" s="86" t="s">
        <v>535</v>
      </c>
      <c r="K20" s="86">
        <v>36.4</v>
      </c>
      <c r="L20" s="86" t="s">
        <v>536</v>
      </c>
      <c r="M20" s="86">
        <v>1013</v>
      </c>
      <c r="N20" s="86" t="s">
        <v>60</v>
      </c>
      <c r="O20" s="86">
        <v>0</v>
      </c>
      <c r="P20" s="86">
        <v>0</v>
      </c>
      <c r="Q20" s="86" t="s">
        <v>299</v>
      </c>
      <c r="R20" s="86" t="s">
        <v>103</v>
      </c>
      <c r="S20" s="86">
        <v>0</v>
      </c>
      <c r="T20" s="86" t="s">
        <v>103</v>
      </c>
      <c r="U20" s="86">
        <v>0</v>
      </c>
      <c r="V20" s="86" t="s">
        <v>103</v>
      </c>
      <c r="W20" s="147">
        <f t="shared" si="0"/>
        <v>0.334818</v>
      </c>
      <c r="X20" s="147"/>
      <c r="Y20" s="86" t="s">
        <v>103</v>
      </c>
      <c r="Z20" s="86">
        <v>1</v>
      </c>
      <c r="AA20" s="86">
        <v>2.937</v>
      </c>
      <c r="AB20" s="86" t="s">
        <v>537</v>
      </c>
      <c r="AC20" s="149" t="s">
        <v>214</v>
      </c>
      <c r="AD20" s="186"/>
    </row>
    <row r="21" spans="1:30" s="9" customFormat="1" ht="14.25">
      <c r="A21" s="83">
        <v>3</v>
      </c>
      <c r="B21" s="86">
        <v>3706</v>
      </c>
      <c r="C21" s="86" t="s">
        <v>506</v>
      </c>
      <c r="D21" s="86">
        <v>30600106</v>
      </c>
      <c r="E21" s="86" t="s">
        <v>507</v>
      </c>
      <c r="F21" s="86" t="s">
        <v>299</v>
      </c>
      <c r="G21" s="185" t="str">
        <f t="shared" si="1"/>
        <v>13--1</v>
      </c>
      <c r="H21" s="86" t="s">
        <v>486</v>
      </c>
      <c r="I21" s="86">
        <v>16</v>
      </c>
      <c r="J21" s="86" t="s">
        <v>535</v>
      </c>
      <c r="K21" s="86">
        <v>3.5</v>
      </c>
      <c r="L21" s="86" t="s">
        <v>536</v>
      </c>
      <c r="M21" s="86">
        <v>1013</v>
      </c>
      <c r="N21" s="86" t="s">
        <v>60</v>
      </c>
      <c r="O21" s="86">
        <v>0</v>
      </c>
      <c r="P21" s="86">
        <v>0</v>
      </c>
      <c r="Q21" s="86" t="s">
        <v>299</v>
      </c>
      <c r="R21" s="86" t="s">
        <v>103</v>
      </c>
      <c r="S21" s="86">
        <v>0</v>
      </c>
      <c r="T21" s="86" t="s">
        <v>103</v>
      </c>
      <c r="U21" s="86">
        <v>0</v>
      </c>
      <c r="V21" s="86" t="s">
        <v>103</v>
      </c>
      <c r="W21" s="147">
        <f t="shared" si="0"/>
        <v>0.023496</v>
      </c>
      <c r="X21" s="147"/>
      <c r="Y21" s="86" t="s">
        <v>103</v>
      </c>
      <c r="Z21" s="86">
        <v>1</v>
      </c>
      <c r="AA21" s="86">
        <v>2.937</v>
      </c>
      <c r="AB21" s="86" t="s">
        <v>537</v>
      </c>
      <c r="AC21" s="149" t="s">
        <v>214</v>
      </c>
      <c r="AD21" s="186"/>
    </row>
    <row r="22" spans="1:30" s="9" customFormat="1" ht="14.25">
      <c r="A22" s="83">
        <v>3</v>
      </c>
      <c r="B22" s="86">
        <v>3396</v>
      </c>
      <c r="C22" s="86" t="s">
        <v>508</v>
      </c>
      <c r="D22" s="86">
        <v>30609904</v>
      </c>
      <c r="E22" s="86" t="s">
        <v>509</v>
      </c>
      <c r="F22" s="86" t="s">
        <v>294</v>
      </c>
      <c r="G22" s="185" t="str">
        <f t="shared" si="1"/>
        <v>17--1</v>
      </c>
      <c r="H22" s="86" t="s">
        <v>486</v>
      </c>
      <c r="I22" s="86">
        <v>14</v>
      </c>
      <c r="J22" s="86" t="s">
        <v>535</v>
      </c>
      <c r="K22" s="86">
        <v>2.2</v>
      </c>
      <c r="L22" s="86" t="s">
        <v>536</v>
      </c>
      <c r="M22" s="86">
        <v>1013</v>
      </c>
      <c r="N22" s="86" t="s">
        <v>60</v>
      </c>
      <c r="O22" s="86">
        <v>0</v>
      </c>
      <c r="P22" s="86">
        <v>0</v>
      </c>
      <c r="Q22" s="86" t="s">
        <v>299</v>
      </c>
      <c r="R22" s="86" t="s">
        <v>103</v>
      </c>
      <c r="S22" s="86">
        <v>0</v>
      </c>
      <c r="T22" s="86" t="s">
        <v>103</v>
      </c>
      <c r="U22" s="86">
        <v>0</v>
      </c>
      <c r="V22" s="86" t="s">
        <v>103</v>
      </c>
      <c r="W22" s="147">
        <v>163.07</v>
      </c>
      <c r="X22" s="147"/>
      <c r="Y22" s="86" t="s">
        <v>103</v>
      </c>
      <c r="Z22" s="86">
        <v>1</v>
      </c>
      <c r="AA22" s="86" t="s">
        <v>103</v>
      </c>
      <c r="AB22" s="86" t="s">
        <v>103</v>
      </c>
      <c r="AC22" s="149" t="s">
        <v>214</v>
      </c>
      <c r="AD22" s="186"/>
    </row>
    <row r="23" spans="1:30" s="9" customFormat="1" ht="14.25">
      <c r="A23" s="83">
        <v>3</v>
      </c>
      <c r="B23" s="86">
        <v>3941</v>
      </c>
      <c r="C23" s="86" t="s">
        <v>510</v>
      </c>
      <c r="D23" s="86">
        <v>30600106</v>
      </c>
      <c r="E23" s="86" t="s">
        <v>511</v>
      </c>
      <c r="F23" s="86" t="s">
        <v>294</v>
      </c>
      <c r="G23" s="185" t="str">
        <f t="shared" si="1"/>
        <v>45--1</v>
      </c>
      <c r="H23" s="86" t="s">
        <v>486</v>
      </c>
      <c r="I23" s="86">
        <v>0</v>
      </c>
      <c r="J23" s="86" t="s">
        <v>535</v>
      </c>
      <c r="K23" s="86">
        <v>15</v>
      </c>
      <c r="L23" s="86" t="s">
        <v>536</v>
      </c>
      <c r="M23" s="86">
        <v>1013</v>
      </c>
      <c r="N23" s="86" t="s">
        <v>60</v>
      </c>
      <c r="O23" s="86">
        <v>0</v>
      </c>
      <c r="P23" s="86">
        <v>0</v>
      </c>
      <c r="Q23" s="86" t="s">
        <v>299</v>
      </c>
      <c r="R23" s="86" t="s">
        <v>103</v>
      </c>
      <c r="S23" s="86">
        <v>0</v>
      </c>
      <c r="T23" s="86" t="s">
        <v>103</v>
      </c>
      <c r="U23" s="86">
        <v>0</v>
      </c>
      <c r="V23" s="86" t="s">
        <v>103</v>
      </c>
      <c r="W23" s="147">
        <f>(AA23*I23)/2000</f>
        <v>0</v>
      </c>
      <c r="X23" s="147"/>
      <c r="Y23" s="86" t="s">
        <v>103</v>
      </c>
      <c r="Z23" s="86">
        <v>1</v>
      </c>
      <c r="AA23" s="86">
        <v>2.937</v>
      </c>
      <c r="AB23" s="86" t="s">
        <v>537</v>
      </c>
      <c r="AC23" s="149" t="s">
        <v>214</v>
      </c>
      <c r="AD23" s="186"/>
    </row>
    <row r="24" spans="1:30" s="9" customFormat="1" ht="14.25">
      <c r="A24" s="83">
        <v>3</v>
      </c>
      <c r="B24" s="86">
        <v>3942</v>
      </c>
      <c r="C24" s="86" t="s">
        <v>512</v>
      </c>
      <c r="D24" s="86">
        <v>30600106</v>
      </c>
      <c r="E24" s="86" t="s">
        <v>511</v>
      </c>
      <c r="F24" s="86" t="s">
        <v>294</v>
      </c>
      <c r="G24" s="86" t="s">
        <v>512</v>
      </c>
      <c r="H24" s="86" t="s">
        <v>486</v>
      </c>
      <c r="I24" s="86">
        <v>0.5</v>
      </c>
      <c r="J24" s="86" t="s">
        <v>535</v>
      </c>
      <c r="K24" s="86">
        <v>11.8</v>
      </c>
      <c r="L24" s="86" t="s">
        <v>536</v>
      </c>
      <c r="M24" s="86">
        <v>1013</v>
      </c>
      <c r="N24" s="86" t="s">
        <v>60</v>
      </c>
      <c r="O24" s="86">
        <v>0</v>
      </c>
      <c r="P24" s="86">
        <v>0</v>
      </c>
      <c r="Q24" s="86" t="s">
        <v>299</v>
      </c>
      <c r="R24" s="86" t="s">
        <v>103</v>
      </c>
      <c r="S24" s="86">
        <v>0</v>
      </c>
      <c r="T24" s="86" t="s">
        <v>103</v>
      </c>
      <c r="U24" s="86">
        <v>0</v>
      </c>
      <c r="V24" s="86" t="s">
        <v>103</v>
      </c>
      <c r="W24" s="147">
        <f>(AA24*I24)/2000</f>
        <v>0.00073425</v>
      </c>
      <c r="X24" s="147"/>
      <c r="Y24" s="86" t="s">
        <v>103</v>
      </c>
      <c r="Z24" s="86">
        <v>1</v>
      </c>
      <c r="AA24" s="86">
        <v>2.937</v>
      </c>
      <c r="AB24" s="86" t="s">
        <v>537</v>
      </c>
      <c r="AC24" s="149" t="s">
        <v>214</v>
      </c>
      <c r="AD24" s="186"/>
    </row>
    <row r="25" spans="1:30" s="9" customFormat="1" ht="14.25">
      <c r="A25" s="83">
        <v>3</v>
      </c>
      <c r="B25" s="86">
        <v>2668</v>
      </c>
      <c r="C25" s="86" t="s">
        <v>513</v>
      </c>
      <c r="D25" s="86">
        <v>10200701</v>
      </c>
      <c r="E25" s="86" t="s">
        <v>514</v>
      </c>
      <c r="F25" s="86" t="s">
        <v>294</v>
      </c>
      <c r="G25" s="86" t="s">
        <v>513</v>
      </c>
      <c r="H25" s="86" t="s">
        <v>486</v>
      </c>
      <c r="I25" s="86">
        <v>148</v>
      </c>
      <c r="J25" s="86" t="s">
        <v>535</v>
      </c>
      <c r="K25" s="86"/>
      <c r="L25" s="86" t="s">
        <v>536</v>
      </c>
      <c r="M25" s="86">
        <v>1013</v>
      </c>
      <c r="N25" s="86" t="s">
        <v>60</v>
      </c>
      <c r="O25" s="86">
        <v>0</v>
      </c>
      <c r="P25" s="86">
        <v>0</v>
      </c>
      <c r="Q25" s="86" t="s">
        <v>299</v>
      </c>
      <c r="R25" s="86" t="s">
        <v>103</v>
      </c>
      <c r="S25" s="86">
        <v>0</v>
      </c>
      <c r="T25" s="86" t="s">
        <v>103</v>
      </c>
      <c r="U25" s="86">
        <v>0</v>
      </c>
      <c r="V25" s="86" t="s">
        <v>103</v>
      </c>
      <c r="W25" s="147">
        <f>(AA25*I25)/2000</f>
        <v>0.217338</v>
      </c>
      <c r="X25" s="147"/>
      <c r="Y25" s="86" t="s">
        <v>103</v>
      </c>
      <c r="Z25" s="86">
        <v>1</v>
      </c>
      <c r="AA25" s="86">
        <v>2.937</v>
      </c>
      <c r="AB25" s="86" t="s">
        <v>537</v>
      </c>
      <c r="AC25" s="149" t="s">
        <v>214</v>
      </c>
      <c r="AD25" s="186"/>
    </row>
    <row r="26" spans="1:30" s="9" customFormat="1" ht="14.25">
      <c r="A26" s="83">
        <v>3</v>
      </c>
      <c r="B26" s="86">
        <v>2669</v>
      </c>
      <c r="C26" s="86" t="s">
        <v>515</v>
      </c>
      <c r="D26" s="86">
        <v>10200701</v>
      </c>
      <c r="E26" s="86" t="s">
        <v>514</v>
      </c>
      <c r="F26" s="86" t="s">
        <v>294</v>
      </c>
      <c r="G26" s="86" t="s">
        <v>515</v>
      </c>
      <c r="H26" s="86" t="s">
        <v>486</v>
      </c>
      <c r="I26" s="86">
        <v>229</v>
      </c>
      <c r="J26" s="86" t="s">
        <v>535</v>
      </c>
      <c r="K26" s="86">
        <v>71</v>
      </c>
      <c r="L26" s="86" t="s">
        <v>536</v>
      </c>
      <c r="M26" s="86">
        <v>1013</v>
      </c>
      <c r="N26" s="86" t="s">
        <v>60</v>
      </c>
      <c r="O26" s="86">
        <v>0</v>
      </c>
      <c r="P26" s="86">
        <v>0</v>
      </c>
      <c r="Q26" s="86" t="s">
        <v>299</v>
      </c>
      <c r="R26" s="86" t="s">
        <v>103</v>
      </c>
      <c r="S26" s="86">
        <v>0</v>
      </c>
      <c r="T26" s="86" t="s">
        <v>103</v>
      </c>
      <c r="U26" s="86">
        <v>0</v>
      </c>
      <c r="V26" s="86" t="s">
        <v>103</v>
      </c>
      <c r="W26" s="147">
        <f>(AA26*I26)/2000</f>
        <v>0.3362865</v>
      </c>
      <c r="X26" s="147"/>
      <c r="Y26" s="86" t="s">
        <v>103</v>
      </c>
      <c r="Z26" s="86">
        <v>1</v>
      </c>
      <c r="AA26" s="86">
        <v>2.937</v>
      </c>
      <c r="AB26" s="86" t="s">
        <v>537</v>
      </c>
      <c r="AC26" s="149" t="s">
        <v>214</v>
      </c>
      <c r="AD26" s="186"/>
    </row>
    <row r="27" spans="1:30" s="9" customFormat="1" ht="14.25">
      <c r="A27" s="83">
        <v>3</v>
      </c>
      <c r="B27" s="86">
        <v>2672</v>
      </c>
      <c r="C27" s="86" t="s">
        <v>516</v>
      </c>
      <c r="D27" s="86">
        <v>10200701</v>
      </c>
      <c r="E27" s="86" t="s">
        <v>514</v>
      </c>
      <c r="F27" s="86" t="s">
        <v>294</v>
      </c>
      <c r="G27" s="86" t="s">
        <v>516</v>
      </c>
      <c r="H27" s="86" t="s">
        <v>486</v>
      </c>
      <c r="I27" s="86">
        <v>284</v>
      </c>
      <c r="J27" s="86" t="s">
        <v>535</v>
      </c>
      <c r="K27" s="86">
        <v>55</v>
      </c>
      <c r="L27" s="86" t="s">
        <v>536</v>
      </c>
      <c r="M27" s="86">
        <v>1013</v>
      </c>
      <c r="N27" s="86" t="s">
        <v>60</v>
      </c>
      <c r="O27" s="86">
        <v>0</v>
      </c>
      <c r="P27" s="86">
        <v>0</v>
      </c>
      <c r="Q27" s="86" t="s">
        <v>299</v>
      </c>
      <c r="R27" s="86" t="s">
        <v>103</v>
      </c>
      <c r="S27" s="86">
        <v>0</v>
      </c>
      <c r="T27" s="86" t="s">
        <v>103</v>
      </c>
      <c r="U27" s="86">
        <v>0</v>
      </c>
      <c r="V27" s="86" t="s">
        <v>103</v>
      </c>
      <c r="W27" s="147">
        <v>407.29</v>
      </c>
      <c r="X27" s="147"/>
      <c r="Y27" s="86" t="s">
        <v>103</v>
      </c>
      <c r="Z27" s="86">
        <v>4</v>
      </c>
      <c r="AA27" s="86">
        <v>95.8</v>
      </c>
      <c r="AB27" s="86" t="s">
        <v>236</v>
      </c>
      <c r="AC27" s="149" t="s">
        <v>517</v>
      </c>
      <c r="AD27" s="186"/>
    </row>
    <row r="28" spans="1:30" s="9" customFormat="1" ht="12.75">
      <c r="A28" s="83">
        <v>3</v>
      </c>
      <c r="B28" s="86">
        <v>2675</v>
      </c>
      <c r="C28" s="86" t="s">
        <v>518</v>
      </c>
      <c r="D28" s="86">
        <v>30600201</v>
      </c>
      <c r="E28" s="86" t="s">
        <v>519</v>
      </c>
      <c r="F28" s="86" t="s">
        <v>294</v>
      </c>
      <c r="G28" s="86" t="s">
        <v>518</v>
      </c>
      <c r="H28" s="86" t="s">
        <v>520</v>
      </c>
      <c r="I28" s="86" t="s">
        <v>103</v>
      </c>
      <c r="J28" s="86" t="s">
        <v>103</v>
      </c>
      <c r="K28" s="86" t="s">
        <v>103</v>
      </c>
      <c r="L28" s="86" t="s">
        <v>103</v>
      </c>
      <c r="M28" s="86" t="s">
        <v>103</v>
      </c>
      <c r="N28" s="86" t="s">
        <v>103</v>
      </c>
      <c r="O28" s="86" t="s">
        <v>103</v>
      </c>
      <c r="P28" s="86" t="s">
        <v>103</v>
      </c>
      <c r="Q28" s="86" t="s">
        <v>299</v>
      </c>
      <c r="R28" s="86" t="s">
        <v>103</v>
      </c>
      <c r="S28" s="86">
        <v>0</v>
      </c>
      <c r="T28" s="86" t="s">
        <v>103</v>
      </c>
      <c r="U28" s="86">
        <v>0</v>
      </c>
      <c r="V28" s="86" t="s">
        <v>103</v>
      </c>
      <c r="W28" s="147">
        <v>0.22</v>
      </c>
      <c r="X28" s="147"/>
      <c r="Y28" s="86">
        <v>100</v>
      </c>
      <c r="Z28" s="86">
        <v>2</v>
      </c>
      <c r="AA28" s="86" t="s">
        <v>103</v>
      </c>
      <c r="AB28" s="86" t="s">
        <v>103</v>
      </c>
      <c r="AC28" s="149" t="s">
        <v>521</v>
      </c>
      <c r="AD28" s="186"/>
    </row>
    <row r="29" spans="1:30" s="9" customFormat="1" ht="14.25">
      <c r="A29" s="83">
        <v>3</v>
      </c>
      <c r="B29" s="86">
        <v>18417</v>
      </c>
      <c r="C29" s="86" t="s">
        <v>522</v>
      </c>
      <c r="D29" s="86">
        <v>10200701</v>
      </c>
      <c r="E29" s="86" t="s">
        <v>514</v>
      </c>
      <c r="F29" s="86" t="s">
        <v>294</v>
      </c>
      <c r="G29" s="86" t="s">
        <v>522</v>
      </c>
      <c r="H29" s="86" t="s">
        <v>486</v>
      </c>
      <c r="I29" s="86">
        <v>410</v>
      </c>
      <c r="J29" s="86" t="s">
        <v>538</v>
      </c>
      <c r="K29" s="86">
        <v>81.8</v>
      </c>
      <c r="L29" s="86" t="s">
        <v>538</v>
      </c>
      <c r="M29" s="86">
        <v>1013</v>
      </c>
      <c r="N29" s="86" t="s">
        <v>60</v>
      </c>
      <c r="O29" s="86">
        <v>0</v>
      </c>
      <c r="P29" s="86">
        <v>0</v>
      </c>
      <c r="Q29" s="86" t="s">
        <v>299</v>
      </c>
      <c r="R29" s="86" t="s">
        <v>103</v>
      </c>
      <c r="S29" s="86">
        <v>0</v>
      </c>
      <c r="T29" s="86" t="s">
        <v>103</v>
      </c>
      <c r="U29" s="86">
        <v>0</v>
      </c>
      <c r="V29" s="86" t="s">
        <v>103</v>
      </c>
      <c r="W29" s="147">
        <f>(AA29*I29)/2000</f>
        <v>0.6020849999999999</v>
      </c>
      <c r="X29" s="147"/>
      <c r="Y29" s="86" t="s">
        <v>103</v>
      </c>
      <c r="Z29" s="86">
        <v>1</v>
      </c>
      <c r="AA29" s="86">
        <v>2.937</v>
      </c>
      <c r="AB29" s="86" t="s">
        <v>537</v>
      </c>
      <c r="AC29" s="149" t="s">
        <v>214</v>
      </c>
      <c r="AD29" s="186"/>
    </row>
    <row r="30" spans="1:30" s="9" customFormat="1" ht="14.25">
      <c r="A30" s="83">
        <v>3</v>
      </c>
      <c r="B30" s="86">
        <v>4345</v>
      </c>
      <c r="C30" s="86" t="s">
        <v>523</v>
      </c>
      <c r="D30" s="86">
        <v>30600904</v>
      </c>
      <c r="E30" s="86" t="s">
        <v>524</v>
      </c>
      <c r="F30" s="86" t="s">
        <v>294</v>
      </c>
      <c r="G30" s="86" t="s">
        <v>523</v>
      </c>
      <c r="H30" s="86" t="s">
        <v>520</v>
      </c>
      <c r="I30" s="86">
        <v>25.5</v>
      </c>
      <c r="J30" s="86" t="s">
        <v>538</v>
      </c>
      <c r="K30" s="86" t="s">
        <v>103</v>
      </c>
      <c r="L30" s="86" t="s">
        <v>103</v>
      </c>
      <c r="M30" s="86" t="s">
        <v>103</v>
      </c>
      <c r="N30" s="86" t="s">
        <v>103</v>
      </c>
      <c r="O30" s="86" t="s">
        <v>103</v>
      </c>
      <c r="P30" s="86" t="s">
        <v>103</v>
      </c>
      <c r="Q30" s="86" t="s">
        <v>299</v>
      </c>
      <c r="R30" s="86" t="s">
        <v>103</v>
      </c>
      <c r="S30" s="86">
        <v>0</v>
      </c>
      <c r="T30" s="86" t="s">
        <v>103</v>
      </c>
      <c r="U30" s="86">
        <v>0</v>
      </c>
      <c r="V30" s="86" t="s">
        <v>103</v>
      </c>
      <c r="W30" s="147">
        <f>(AA30*I30)/2000</f>
        <v>0.037446749999999994</v>
      </c>
      <c r="X30" s="147"/>
      <c r="Y30" s="86">
        <v>100</v>
      </c>
      <c r="Z30" s="86">
        <v>1</v>
      </c>
      <c r="AA30" s="86">
        <v>2.937</v>
      </c>
      <c r="AB30" s="86" t="s">
        <v>537</v>
      </c>
      <c r="AC30" s="149" t="s">
        <v>214</v>
      </c>
      <c r="AD30" s="186"/>
    </row>
    <row r="31" spans="1:30" s="9" customFormat="1" ht="15" thickBot="1">
      <c r="A31" s="88">
        <v>3</v>
      </c>
      <c r="B31" s="91">
        <v>4346</v>
      </c>
      <c r="C31" s="91" t="s">
        <v>525</v>
      </c>
      <c r="D31" s="91">
        <v>30600904</v>
      </c>
      <c r="E31" s="91" t="s">
        <v>524</v>
      </c>
      <c r="F31" s="91" t="s">
        <v>294</v>
      </c>
      <c r="G31" s="91" t="s">
        <v>525</v>
      </c>
      <c r="H31" s="91" t="s">
        <v>520</v>
      </c>
      <c r="I31" s="91" t="s">
        <v>103</v>
      </c>
      <c r="J31" s="91" t="s">
        <v>103</v>
      </c>
      <c r="K31" s="91" t="s">
        <v>103</v>
      </c>
      <c r="L31" s="91" t="s">
        <v>103</v>
      </c>
      <c r="M31" s="91" t="s">
        <v>103</v>
      </c>
      <c r="N31" s="91" t="s">
        <v>103</v>
      </c>
      <c r="O31" s="91" t="s">
        <v>103</v>
      </c>
      <c r="P31" s="91" t="s">
        <v>103</v>
      </c>
      <c r="Q31" s="91"/>
      <c r="R31" s="91" t="s">
        <v>526</v>
      </c>
      <c r="S31" s="91">
        <v>23</v>
      </c>
      <c r="T31" s="91" t="s">
        <v>103</v>
      </c>
      <c r="U31" s="91">
        <v>0</v>
      </c>
      <c r="V31" s="91" t="s">
        <v>103</v>
      </c>
      <c r="W31" s="152">
        <v>25.98</v>
      </c>
      <c r="X31" s="152"/>
      <c r="Y31" s="91">
        <v>0</v>
      </c>
      <c r="Z31" s="91">
        <v>2</v>
      </c>
      <c r="AA31" s="91">
        <v>7.548</v>
      </c>
      <c r="AB31" s="91" t="s">
        <v>537</v>
      </c>
      <c r="AC31" s="153" t="s">
        <v>330</v>
      </c>
      <c r="AD31" s="187"/>
    </row>
    <row r="32" spans="22:23" s="9" customFormat="1" ht="13.5" thickBot="1">
      <c r="V32" s="188" t="s">
        <v>86</v>
      </c>
      <c r="W32" s="189">
        <f>SUM(W9:W31)</f>
        <v>600.92687845</v>
      </c>
    </row>
    <row r="33" s="9" customFormat="1" ht="13.5" thickTop="1"/>
    <row r="34" spans="3:5" ht="12.75">
      <c r="C34" s="59" t="s">
        <v>125</v>
      </c>
      <c r="E34" s="190"/>
    </row>
    <row r="35" ht="12.75">
      <c r="E35" s="191"/>
    </row>
    <row r="37" ht="12.75">
      <c r="C37" t="s">
        <v>347</v>
      </c>
    </row>
    <row r="40" ht="12.75">
      <c r="C40" t="s">
        <v>289</v>
      </c>
    </row>
    <row r="41" ht="12.75">
      <c r="D41" t="s">
        <v>527</v>
      </c>
    </row>
    <row r="42" ht="12.75">
      <c r="D42" t="s">
        <v>528</v>
      </c>
    </row>
    <row r="43" ht="12.75">
      <c r="D43" t="s">
        <v>529</v>
      </c>
    </row>
    <row r="44" ht="12.75">
      <c r="D44" t="s">
        <v>530</v>
      </c>
    </row>
    <row r="45" ht="12.75">
      <c r="D45" t="s">
        <v>531</v>
      </c>
    </row>
  </sheetData>
  <mergeCells count="24">
    <mergeCell ref="M6:P7"/>
    <mergeCell ref="E6:E8"/>
    <mergeCell ref="F6:F8"/>
    <mergeCell ref="G6:G8"/>
    <mergeCell ref="H6:H8"/>
    <mergeCell ref="I6:L7"/>
    <mergeCell ref="A6:A8"/>
    <mergeCell ref="B6:B8"/>
    <mergeCell ref="C6:C8"/>
    <mergeCell ref="D6:D8"/>
    <mergeCell ref="Q6:Q8"/>
    <mergeCell ref="R6:S6"/>
    <mergeCell ref="T6:U6"/>
    <mergeCell ref="V6:V8"/>
    <mergeCell ref="AC6:AC8"/>
    <mergeCell ref="R7:R8"/>
    <mergeCell ref="S7:S8"/>
    <mergeCell ref="T7:T8"/>
    <mergeCell ref="U7:U8"/>
    <mergeCell ref="AB6:AB8"/>
    <mergeCell ref="Y6:Y8"/>
    <mergeCell ref="Z6:Z8"/>
    <mergeCell ref="AA6:AA8"/>
    <mergeCell ref="W6:X8"/>
  </mergeCells>
  <printOptions horizontalCentered="1"/>
  <pageMargins left="0.61" right="0.56" top="1.4" bottom="1.37" header="0.53" footer="0.5"/>
  <pageSetup horizontalDpi="600" verticalDpi="600" orientation="landscape" pageOrder="overThenDown" r:id="rId1"/>
  <headerFooter alignWithMargins="0">
    <oddHeader>&amp;L
Phillips 66 Refinery
Site:  Woods Cross Facility
Site ID:  10123&amp;CRegional Haze
2000 Statewide SOx Sources</oddHeader>
    <oddFooter>&amp;R&amp;D
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workbookViewId="0" topLeftCell="A1">
      <selection activeCell="D5" sqref="D5"/>
    </sheetView>
  </sheetViews>
  <sheetFormatPr defaultColWidth="9.140625" defaultRowHeight="12.75"/>
  <cols>
    <col min="1" max="1" width="7.57421875" style="0" customWidth="1"/>
    <col min="2" max="2" width="8.57421875" style="0" customWidth="1"/>
    <col min="3" max="3" width="8.28125" style="0" customWidth="1"/>
    <col min="4" max="4" width="12.57421875" style="0" customWidth="1"/>
    <col min="5" max="5" width="26.7109375" style="0" customWidth="1"/>
    <col min="7" max="7" width="11.140625" style="0" customWidth="1"/>
    <col min="8" max="8" width="14.7109375" style="0" customWidth="1"/>
    <col min="12" max="12" width="9.57421875" style="0" customWidth="1"/>
    <col min="14" max="14" width="10.7109375" style="0" customWidth="1"/>
    <col min="18" max="18" width="17.00390625" style="0" customWidth="1"/>
    <col min="20" max="20" width="19.8515625" style="0" customWidth="1"/>
    <col min="22" max="22" width="10.57421875" style="0" customWidth="1"/>
    <col min="23" max="24" width="11.7109375" style="0" customWidth="1"/>
    <col min="27" max="27" width="11.7109375" style="0" customWidth="1"/>
    <col min="28" max="28" width="29.140625" style="0" customWidth="1"/>
  </cols>
  <sheetData>
    <row r="1" spans="2:5" ht="15.75">
      <c r="B1" s="59"/>
      <c r="E1" s="4" t="s">
        <v>1</v>
      </c>
    </row>
    <row r="2" spans="1:5" ht="15">
      <c r="A2" s="59"/>
      <c r="B2" s="59"/>
      <c r="E2" s="5" t="s">
        <v>95</v>
      </c>
    </row>
    <row r="3" spans="2:4" ht="12.75">
      <c r="B3" s="60" t="s">
        <v>96</v>
      </c>
      <c r="C3" s="3"/>
      <c r="D3" s="3"/>
    </row>
    <row r="4" spans="2:4" ht="12.75">
      <c r="B4" s="60" t="s">
        <v>97</v>
      </c>
      <c r="C4" s="3"/>
      <c r="D4" s="3"/>
    </row>
    <row r="5" spans="1:4" ht="12.75">
      <c r="A5" s="61"/>
      <c r="B5" s="60" t="s">
        <v>98</v>
      </c>
      <c r="C5" s="3"/>
      <c r="D5" s="3"/>
    </row>
    <row r="6" ht="13.5" thickBot="1"/>
    <row r="7" spans="1:28" ht="16.5" customHeight="1">
      <c r="A7" s="418" t="s">
        <v>5</v>
      </c>
      <c r="B7" s="399" t="s">
        <v>6</v>
      </c>
      <c r="C7" s="399" t="s">
        <v>7</v>
      </c>
      <c r="D7" s="399" t="s">
        <v>8</v>
      </c>
      <c r="E7" s="399" t="s">
        <v>9</v>
      </c>
      <c r="F7" s="399" t="s">
        <v>10</v>
      </c>
      <c r="G7" s="399" t="s">
        <v>11</v>
      </c>
      <c r="H7" s="399" t="s">
        <v>12</v>
      </c>
      <c r="I7" s="412" t="s">
        <v>13</v>
      </c>
      <c r="J7" s="413"/>
      <c r="K7" s="413"/>
      <c r="L7" s="413"/>
      <c r="M7" s="412" t="s">
        <v>14</v>
      </c>
      <c r="N7" s="413"/>
      <c r="O7" s="413"/>
      <c r="P7" s="413"/>
      <c r="Q7" s="384" t="s">
        <v>15</v>
      </c>
      <c r="R7" s="412" t="s">
        <v>16</v>
      </c>
      <c r="S7" s="417"/>
      <c r="T7" s="412" t="s">
        <v>17</v>
      </c>
      <c r="U7" s="417"/>
      <c r="V7" s="384" t="s">
        <v>18</v>
      </c>
      <c r="W7" s="384" t="s">
        <v>99</v>
      </c>
      <c r="X7" s="384" t="s">
        <v>100</v>
      </c>
      <c r="Y7" s="384" t="s">
        <v>21</v>
      </c>
      <c r="Z7" s="384" t="s">
        <v>22</v>
      </c>
      <c r="AA7" s="384" t="s">
        <v>23</v>
      </c>
      <c r="AB7" s="387" t="s">
        <v>24</v>
      </c>
    </row>
    <row r="8" spans="1:28" s="9" customFormat="1" ht="24.75" customHeight="1">
      <c r="A8" s="419"/>
      <c r="B8" s="410"/>
      <c r="C8" s="410"/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4"/>
      <c r="R8" s="396" t="s">
        <v>29</v>
      </c>
      <c r="S8" s="396" t="s">
        <v>30</v>
      </c>
      <c r="T8" s="396" t="s">
        <v>101</v>
      </c>
      <c r="U8" s="396" t="s">
        <v>30</v>
      </c>
      <c r="V8" s="385"/>
      <c r="W8" s="385"/>
      <c r="X8" s="385"/>
      <c r="Y8" s="385"/>
      <c r="Z8" s="385"/>
      <c r="AA8" s="414"/>
      <c r="AB8" s="388"/>
    </row>
    <row r="9" spans="1:28" ht="25.5" customHeight="1" thickBot="1">
      <c r="A9" s="420"/>
      <c r="B9" s="411"/>
      <c r="C9" s="411"/>
      <c r="D9" s="411"/>
      <c r="E9" s="411"/>
      <c r="F9" s="411"/>
      <c r="G9" s="411"/>
      <c r="H9" s="411"/>
      <c r="I9" s="65" t="s">
        <v>32</v>
      </c>
      <c r="J9" s="65" t="s">
        <v>33</v>
      </c>
      <c r="K9" s="65" t="s">
        <v>34</v>
      </c>
      <c r="L9" s="65" t="s">
        <v>26</v>
      </c>
      <c r="M9" s="65" t="s">
        <v>25</v>
      </c>
      <c r="N9" s="65" t="s">
        <v>26</v>
      </c>
      <c r="O9" s="65" t="s">
        <v>27</v>
      </c>
      <c r="P9" s="65" t="s">
        <v>28</v>
      </c>
      <c r="Q9" s="415"/>
      <c r="R9" s="409"/>
      <c r="S9" s="409"/>
      <c r="T9" s="415"/>
      <c r="U9" s="409"/>
      <c r="V9" s="409"/>
      <c r="W9" s="409"/>
      <c r="X9" s="409"/>
      <c r="Y9" s="409"/>
      <c r="Z9" s="409"/>
      <c r="AA9" s="415"/>
      <c r="AB9" s="416"/>
    </row>
    <row r="10" spans="1:28" ht="12.75" customHeight="1">
      <c r="A10" s="66">
        <v>3</v>
      </c>
      <c r="B10" s="67">
        <v>3291</v>
      </c>
      <c r="C10" s="68">
        <v>1</v>
      </c>
      <c r="D10" s="69">
        <v>10200201</v>
      </c>
      <c r="E10" s="68" t="s">
        <v>102</v>
      </c>
      <c r="F10" s="69" t="s">
        <v>38</v>
      </c>
      <c r="G10" s="69" t="s">
        <v>103</v>
      </c>
      <c r="H10" s="68" t="s">
        <v>104</v>
      </c>
      <c r="I10" s="67">
        <v>12886</v>
      </c>
      <c r="J10" s="70" t="s">
        <v>105</v>
      </c>
      <c r="K10" s="67">
        <v>100</v>
      </c>
      <c r="L10" s="68" t="s">
        <v>103</v>
      </c>
      <c r="M10" s="67">
        <v>24.8</v>
      </c>
      <c r="N10" s="68" t="s">
        <v>106</v>
      </c>
      <c r="O10" s="69">
        <v>0.506</v>
      </c>
      <c r="P10" s="69" t="s">
        <v>103</v>
      </c>
      <c r="Q10" s="69" t="s">
        <v>103</v>
      </c>
      <c r="R10" s="69" t="s">
        <v>103</v>
      </c>
      <c r="S10" s="69" t="s">
        <v>103</v>
      </c>
      <c r="T10" s="69" t="s">
        <v>103</v>
      </c>
      <c r="U10" s="69" t="s">
        <v>103</v>
      </c>
      <c r="V10" s="69" t="s">
        <v>103</v>
      </c>
      <c r="W10" s="71">
        <f>Z10*I10/2000</f>
        <v>123.70559999999999</v>
      </c>
      <c r="X10" s="69" t="s">
        <v>103</v>
      </c>
      <c r="Y10" s="69">
        <v>8</v>
      </c>
      <c r="Z10" s="67">
        <v>19.2</v>
      </c>
      <c r="AA10" s="68" t="s">
        <v>107</v>
      </c>
      <c r="AB10" s="72" t="s">
        <v>103</v>
      </c>
    </row>
    <row r="11" spans="1:28" ht="12.75" customHeight="1">
      <c r="A11" s="73">
        <v>3</v>
      </c>
      <c r="B11" s="74">
        <v>3293</v>
      </c>
      <c r="C11" s="75">
        <v>3</v>
      </c>
      <c r="D11" s="76">
        <v>10200601</v>
      </c>
      <c r="E11" s="75" t="s">
        <v>108</v>
      </c>
      <c r="F11" s="76" t="s">
        <v>38</v>
      </c>
      <c r="G11" s="76" t="s">
        <v>103</v>
      </c>
      <c r="H11" s="75" t="s">
        <v>109</v>
      </c>
      <c r="I11" s="74">
        <v>0</v>
      </c>
      <c r="J11" s="75" t="s">
        <v>110</v>
      </c>
      <c r="K11" s="74">
        <v>150</v>
      </c>
      <c r="L11" s="75" t="s">
        <v>103</v>
      </c>
      <c r="M11" s="74">
        <v>1</v>
      </c>
      <c r="N11" s="75" t="s">
        <v>60</v>
      </c>
      <c r="O11" s="76" t="s">
        <v>103</v>
      </c>
      <c r="P11" s="76" t="s">
        <v>103</v>
      </c>
      <c r="Q11" s="76" t="s">
        <v>103</v>
      </c>
      <c r="R11" s="76" t="s">
        <v>103</v>
      </c>
      <c r="S11" s="76" t="s">
        <v>103</v>
      </c>
      <c r="T11" s="76" t="s">
        <v>103</v>
      </c>
      <c r="U11" s="76" t="s">
        <v>103</v>
      </c>
      <c r="V11" s="76" t="s">
        <v>103</v>
      </c>
      <c r="W11" s="77">
        <f aca="true" t="shared" si="0" ref="W11:W17">Z11*I11/2000</f>
        <v>0</v>
      </c>
      <c r="X11" s="76" t="s">
        <v>103</v>
      </c>
      <c r="Y11" s="76">
        <v>8</v>
      </c>
      <c r="Z11" s="74">
        <v>0.6</v>
      </c>
      <c r="AA11" s="75" t="s">
        <v>111</v>
      </c>
      <c r="AB11" s="78" t="s">
        <v>103</v>
      </c>
    </row>
    <row r="12" spans="1:28" ht="12.75" customHeight="1">
      <c r="A12" s="73">
        <v>3</v>
      </c>
      <c r="B12" s="74">
        <v>3723</v>
      </c>
      <c r="C12" s="75">
        <v>4</v>
      </c>
      <c r="D12" s="76">
        <v>10200601</v>
      </c>
      <c r="E12" s="75" t="s">
        <v>112</v>
      </c>
      <c r="F12" s="76" t="s">
        <v>38</v>
      </c>
      <c r="G12" s="76" t="s">
        <v>103</v>
      </c>
      <c r="H12" s="75" t="s">
        <v>109</v>
      </c>
      <c r="I12" s="74">
        <v>227.4</v>
      </c>
      <c r="J12" s="75" t="s">
        <v>110</v>
      </c>
      <c r="K12" s="74">
        <v>200</v>
      </c>
      <c r="L12" s="75" t="s">
        <v>103</v>
      </c>
      <c r="M12" s="74">
        <v>1020</v>
      </c>
      <c r="N12" s="75" t="s">
        <v>60</v>
      </c>
      <c r="O12" s="76" t="s">
        <v>103</v>
      </c>
      <c r="P12" s="76" t="s">
        <v>103</v>
      </c>
      <c r="Q12" s="76" t="s">
        <v>103</v>
      </c>
      <c r="R12" s="76" t="s">
        <v>103</v>
      </c>
      <c r="S12" s="76" t="s">
        <v>103</v>
      </c>
      <c r="T12" s="76" t="s">
        <v>103</v>
      </c>
      <c r="U12" s="76" t="s">
        <v>103</v>
      </c>
      <c r="V12" s="76" t="s">
        <v>103</v>
      </c>
      <c r="W12" s="77">
        <f t="shared" si="0"/>
        <v>0.06822</v>
      </c>
      <c r="X12" s="76" t="s">
        <v>103</v>
      </c>
      <c r="Y12" s="76">
        <v>8</v>
      </c>
      <c r="Z12" s="74">
        <v>0.6</v>
      </c>
      <c r="AA12" s="75" t="s">
        <v>111</v>
      </c>
      <c r="AB12" s="78" t="s">
        <v>103</v>
      </c>
    </row>
    <row r="13" spans="1:28" ht="12.75">
      <c r="A13" s="73">
        <v>3</v>
      </c>
      <c r="B13" s="79">
        <v>3724</v>
      </c>
      <c r="C13" s="80">
        <v>5</v>
      </c>
      <c r="D13" s="81">
        <v>10200501</v>
      </c>
      <c r="E13" s="80" t="s">
        <v>113</v>
      </c>
      <c r="F13" s="81" t="s">
        <v>38</v>
      </c>
      <c r="G13" s="81" t="s">
        <v>103</v>
      </c>
      <c r="H13" s="80" t="s">
        <v>78</v>
      </c>
      <c r="I13" s="79">
        <v>44.487</v>
      </c>
      <c r="J13" s="80" t="s">
        <v>114</v>
      </c>
      <c r="K13" s="79">
        <v>200</v>
      </c>
      <c r="L13" s="80" t="s">
        <v>103</v>
      </c>
      <c r="M13" s="79">
        <v>142.5</v>
      </c>
      <c r="N13" s="80" t="s">
        <v>80</v>
      </c>
      <c r="O13" s="81">
        <v>0.319</v>
      </c>
      <c r="P13" s="81" t="s">
        <v>103</v>
      </c>
      <c r="Q13" s="81" t="s">
        <v>103</v>
      </c>
      <c r="R13" s="81" t="s">
        <v>103</v>
      </c>
      <c r="S13" s="81" t="s">
        <v>103</v>
      </c>
      <c r="T13" s="81" t="s">
        <v>103</v>
      </c>
      <c r="U13" s="81" t="s">
        <v>103</v>
      </c>
      <c r="V13" s="81" t="s">
        <v>103</v>
      </c>
      <c r="W13" s="77">
        <f t="shared" si="0"/>
        <v>1.1210724</v>
      </c>
      <c r="X13" s="81" t="s">
        <v>103</v>
      </c>
      <c r="Y13" s="81">
        <v>8</v>
      </c>
      <c r="Z13" s="79">
        <v>50.4</v>
      </c>
      <c r="AA13" s="80" t="s">
        <v>115</v>
      </c>
      <c r="AB13" s="82" t="s">
        <v>103</v>
      </c>
    </row>
    <row r="14" spans="1:28" ht="12.75">
      <c r="A14" s="83">
        <v>3</v>
      </c>
      <c r="B14" s="84">
        <v>16631</v>
      </c>
      <c r="C14" s="85">
        <v>7</v>
      </c>
      <c r="D14" s="86">
        <v>10300603</v>
      </c>
      <c r="E14" s="85" t="s">
        <v>116</v>
      </c>
      <c r="F14" s="86" t="s">
        <v>38</v>
      </c>
      <c r="G14" s="86" t="s">
        <v>103</v>
      </c>
      <c r="H14" s="85" t="s">
        <v>109</v>
      </c>
      <c r="I14" s="84">
        <v>47</v>
      </c>
      <c r="J14" s="85" t="s">
        <v>117</v>
      </c>
      <c r="K14" s="84" t="s">
        <v>103</v>
      </c>
      <c r="L14" s="85" t="s">
        <v>103</v>
      </c>
      <c r="M14" s="84">
        <v>1020</v>
      </c>
      <c r="N14" s="85" t="s">
        <v>60</v>
      </c>
      <c r="O14" s="86" t="s">
        <v>103</v>
      </c>
      <c r="P14" s="86" t="s">
        <v>103</v>
      </c>
      <c r="Q14" s="86" t="s">
        <v>103</v>
      </c>
      <c r="R14" s="86" t="s">
        <v>103</v>
      </c>
      <c r="S14" s="86" t="s">
        <v>103</v>
      </c>
      <c r="T14" s="86" t="s">
        <v>103</v>
      </c>
      <c r="U14" s="86" t="s">
        <v>103</v>
      </c>
      <c r="V14" s="86" t="s">
        <v>103</v>
      </c>
      <c r="W14" s="77">
        <f t="shared" si="0"/>
        <v>0.0141</v>
      </c>
      <c r="X14" s="86" t="s">
        <v>103</v>
      </c>
      <c r="Y14" s="86">
        <v>8</v>
      </c>
      <c r="Z14" s="84">
        <v>0.6</v>
      </c>
      <c r="AA14" s="75" t="s">
        <v>111</v>
      </c>
      <c r="AB14" s="87" t="s">
        <v>103</v>
      </c>
    </row>
    <row r="15" spans="1:28" ht="12.75">
      <c r="A15" s="83">
        <v>12</v>
      </c>
      <c r="B15" s="84">
        <v>8272</v>
      </c>
      <c r="C15" s="85">
        <v>1</v>
      </c>
      <c r="D15" s="86">
        <v>20200102</v>
      </c>
      <c r="E15" s="85" t="s">
        <v>118</v>
      </c>
      <c r="F15" s="86" t="s">
        <v>38</v>
      </c>
      <c r="G15" s="86" t="s">
        <v>103</v>
      </c>
      <c r="H15" s="85" t="s">
        <v>78</v>
      </c>
      <c r="I15" s="84">
        <v>2972</v>
      </c>
      <c r="J15" s="85" t="s">
        <v>69</v>
      </c>
      <c r="K15" s="84" t="s">
        <v>103</v>
      </c>
      <c r="L15" s="85" t="s">
        <v>103</v>
      </c>
      <c r="M15" s="84" t="s">
        <v>103</v>
      </c>
      <c r="N15" s="85" t="s">
        <v>103</v>
      </c>
      <c r="O15" s="86" t="s">
        <v>103</v>
      </c>
      <c r="P15" s="86" t="s">
        <v>103</v>
      </c>
      <c r="Q15" s="86" t="s">
        <v>103</v>
      </c>
      <c r="R15" s="86" t="s">
        <v>103</v>
      </c>
      <c r="S15" s="86" t="s">
        <v>103</v>
      </c>
      <c r="T15" s="86" t="s">
        <v>103</v>
      </c>
      <c r="U15" s="86" t="s">
        <v>103</v>
      </c>
      <c r="V15" s="86" t="s">
        <v>103</v>
      </c>
      <c r="W15" s="77">
        <f t="shared" si="0"/>
        <v>0.26748</v>
      </c>
      <c r="X15" s="86" t="s">
        <v>103</v>
      </c>
      <c r="Y15" s="86">
        <v>8</v>
      </c>
      <c r="Z15" s="84">
        <v>0.18</v>
      </c>
      <c r="AA15" s="85" t="s">
        <v>49</v>
      </c>
      <c r="AB15" s="87" t="s">
        <v>103</v>
      </c>
    </row>
    <row r="16" spans="1:28" ht="12.75">
      <c r="A16" s="83">
        <v>12</v>
      </c>
      <c r="B16" s="84">
        <v>8273</v>
      </c>
      <c r="C16" s="85">
        <v>2</v>
      </c>
      <c r="D16" s="86">
        <v>20200102</v>
      </c>
      <c r="E16" s="85" t="s">
        <v>119</v>
      </c>
      <c r="F16" s="86" t="s">
        <v>38</v>
      </c>
      <c r="G16" s="86" t="s">
        <v>103</v>
      </c>
      <c r="H16" s="85" t="s">
        <v>78</v>
      </c>
      <c r="I16" s="84">
        <v>200</v>
      </c>
      <c r="J16" s="85" t="s">
        <v>69</v>
      </c>
      <c r="K16" s="84" t="s">
        <v>103</v>
      </c>
      <c r="L16" s="85" t="s">
        <v>103</v>
      </c>
      <c r="M16" s="84" t="s">
        <v>103</v>
      </c>
      <c r="N16" s="85" t="s">
        <v>103</v>
      </c>
      <c r="O16" s="86" t="s">
        <v>103</v>
      </c>
      <c r="P16" s="86" t="s">
        <v>103</v>
      </c>
      <c r="Q16" s="86" t="s">
        <v>103</v>
      </c>
      <c r="R16" s="86" t="s">
        <v>103</v>
      </c>
      <c r="S16" s="86" t="s">
        <v>103</v>
      </c>
      <c r="T16" s="86" t="s">
        <v>103</v>
      </c>
      <c r="U16" s="86" t="s">
        <v>103</v>
      </c>
      <c r="V16" s="86" t="s">
        <v>103</v>
      </c>
      <c r="W16" s="77">
        <f t="shared" si="0"/>
        <v>0.009</v>
      </c>
      <c r="X16" s="86" t="s">
        <v>103</v>
      </c>
      <c r="Y16" s="86">
        <v>8</v>
      </c>
      <c r="Z16" s="84">
        <v>0.09</v>
      </c>
      <c r="AA16" s="85" t="s">
        <v>49</v>
      </c>
      <c r="AB16" s="87" t="s">
        <v>103</v>
      </c>
    </row>
    <row r="17" spans="1:28" ht="13.5" thickBot="1">
      <c r="A17" s="88" t="s">
        <v>120</v>
      </c>
      <c r="B17" s="89">
        <v>16659</v>
      </c>
      <c r="C17" s="90">
        <v>9</v>
      </c>
      <c r="D17" s="91">
        <v>20200104</v>
      </c>
      <c r="E17" s="90" t="s">
        <v>121</v>
      </c>
      <c r="F17" s="91" t="s">
        <v>38</v>
      </c>
      <c r="G17" s="91" t="s">
        <v>103</v>
      </c>
      <c r="H17" s="90" t="s">
        <v>78</v>
      </c>
      <c r="I17" s="89">
        <v>3490</v>
      </c>
      <c r="J17" s="90" t="s">
        <v>122</v>
      </c>
      <c r="K17" s="89" t="s">
        <v>103</v>
      </c>
      <c r="L17" s="90" t="s">
        <v>103</v>
      </c>
      <c r="M17" s="89">
        <v>0.1371</v>
      </c>
      <c r="N17" s="90" t="s">
        <v>106</v>
      </c>
      <c r="O17" s="91">
        <v>0.319</v>
      </c>
      <c r="P17" s="91" t="s">
        <v>103</v>
      </c>
      <c r="Q17" s="91" t="s">
        <v>103</v>
      </c>
      <c r="R17" s="91" t="s">
        <v>103</v>
      </c>
      <c r="S17" s="91" t="s">
        <v>103</v>
      </c>
      <c r="T17" s="91" t="s">
        <v>103</v>
      </c>
      <c r="U17" s="91" t="s">
        <v>103</v>
      </c>
      <c r="V17" s="91" t="s">
        <v>103</v>
      </c>
      <c r="W17" s="92">
        <f t="shared" si="0"/>
        <v>0.24168250000000002</v>
      </c>
      <c r="X17" s="91" t="s">
        <v>103</v>
      </c>
      <c r="Y17" s="91">
        <v>8</v>
      </c>
      <c r="Z17" s="89">
        <v>0.1385</v>
      </c>
      <c r="AA17" s="90" t="s">
        <v>123</v>
      </c>
      <c r="AB17" s="93" t="s">
        <v>103</v>
      </c>
    </row>
    <row r="18" spans="22:23" ht="13.5" thickBot="1">
      <c r="V18" s="94" t="s">
        <v>124</v>
      </c>
      <c r="W18" s="95">
        <f>SUM(W10:W17)</f>
        <v>125.42715489999999</v>
      </c>
    </row>
    <row r="19" ht="13.5" thickTop="1"/>
    <row r="20" ht="12.75">
      <c r="C20" s="96" t="s">
        <v>125</v>
      </c>
    </row>
    <row r="21" ht="12.75">
      <c r="C21" s="3" t="s">
        <v>126</v>
      </c>
    </row>
    <row r="22" ht="12.75">
      <c r="C22" t="s">
        <v>127</v>
      </c>
    </row>
    <row r="23" ht="12.75">
      <c r="C23" t="s">
        <v>128</v>
      </c>
    </row>
    <row r="25" ht="12.75">
      <c r="C25" t="s">
        <v>129</v>
      </c>
    </row>
    <row r="26" ht="12.75">
      <c r="C26">
        <v>3291</v>
      </c>
    </row>
    <row r="27" ht="12.75">
      <c r="D27" t="s">
        <v>130</v>
      </c>
    </row>
    <row r="28" ht="12.75">
      <c r="D28" t="s">
        <v>131</v>
      </c>
    </row>
    <row r="29" ht="12.75">
      <c r="C29">
        <v>3724</v>
      </c>
    </row>
    <row r="30" ht="12.75">
      <c r="C30" t="s">
        <v>132</v>
      </c>
    </row>
  </sheetData>
  <mergeCells count="24">
    <mergeCell ref="A7:A9"/>
    <mergeCell ref="B7:B9"/>
    <mergeCell ref="C7:C9"/>
    <mergeCell ref="D7:D9"/>
    <mergeCell ref="AA7:AA9"/>
    <mergeCell ref="AB7:AB9"/>
    <mergeCell ref="R8:R9"/>
    <mergeCell ref="S8:S9"/>
    <mergeCell ref="U8:U9"/>
    <mergeCell ref="T8:T9"/>
    <mergeCell ref="R7:S7"/>
    <mergeCell ref="T7:U7"/>
    <mergeCell ref="V7:V9"/>
    <mergeCell ref="X7:X9"/>
    <mergeCell ref="Z7:Z9"/>
    <mergeCell ref="E7:E9"/>
    <mergeCell ref="M7:P8"/>
    <mergeCell ref="Y7:Y9"/>
    <mergeCell ref="W7:W9"/>
    <mergeCell ref="Q7:Q9"/>
    <mergeCell ref="F7:F9"/>
    <mergeCell ref="G7:G9"/>
    <mergeCell ref="H7:H9"/>
    <mergeCell ref="I7:L8"/>
  </mergeCells>
  <printOptions horizontalCentered="1"/>
  <pageMargins left="0.3" right="0.16" top="1.38" bottom="1" header="0.5" footer="0.5"/>
  <pageSetup horizontalDpi="600" verticalDpi="600" orientation="landscape" r:id="rId1"/>
  <headerFooter alignWithMargins="0">
    <oddHeader>&amp;L
Brigham Young University
Site:  Main Campus
Site ID:  10790&amp;CRegional Haze
2000 Statewide SOx Sources</oddHeader>
    <oddFooter>&amp;R&amp;D
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N45"/>
  <sheetViews>
    <sheetView workbookViewId="0" topLeftCell="A1">
      <selection activeCell="D4" sqref="D4"/>
    </sheetView>
  </sheetViews>
  <sheetFormatPr defaultColWidth="9.140625" defaultRowHeight="12.75"/>
  <cols>
    <col min="3" max="3" width="9.7109375" style="0" customWidth="1"/>
    <col min="4" max="4" width="11.7109375" style="0" customWidth="1"/>
    <col min="5" max="5" width="21.7109375" style="0" customWidth="1"/>
    <col min="7" max="7" width="11.140625" style="0" customWidth="1"/>
    <col min="8" max="8" width="15.7109375" style="0" customWidth="1"/>
    <col min="12" max="12" width="7.7109375" style="0" customWidth="1"/>
    <col min="13" max="13" width="8.7109375" style="0" customWidth="1"/>
    <col min="14" max="16" width="7.7109375" style="0" customWidth="1"/>
    <col min="18" max="18" width="22.7109375" style="0" bestFit="1" customWidth="1"/>
    <col min="20" max="20" width="18.140625" style="0" bestFit="1" customWidth="1"/>
    <col min="22" max="22" width="10.57421875" style="0" customWidth="1"/>
    <col min="23" max="23" width="1.421875" style="0" customWidth="1"/>
    <col min="24" max="24" width="11.7109375" style="0" customWidth="1"/>
    <col min="27" max="27" width="10.00390625" style="0" bestFit="1" customWidth="1"/>
    <col min="28" max="28" width="10.00390625" style="0" customWidth="1"/>
    <col min="29" max="29" width="25.140625" style="0" customWidth="1"/>
    <col min="30" max="30" width="12.7109375" style="0" customWidth="1"/>
  </cols>
  <sheetData>
    <row r="1" spans="1:5" ht="15.75">
      <c r="A1" s="96" t="s">
        <v>904</v>
      </c>
      <c r="B1" s="59"/>
      <c r="E1" s="4" t="s">
        <v>1</v>
      </c>
    </row>
    <row r="2" spans="1:5" ht="15">
      <c r="A2" s="59"/>
      <c r="B2" s="59"/>
      <c r="E2" s="5" t="s">
        <v>95</v>
      </c>
    </row>
    <row r="3" spans="1:2" ht="12.75">
      <c r="A3" s="96" t="s">
        <v>2</v>
      </c>
      <c r="B3" s="96" t="s">
        <v>905</v>
      </c>
    </row>
    <row r="4" spans="1:2" ht="12.75">
      <c r="A4" s="61">
        <v>10096</v>
      </c>
      <c r="B4" s="96" t="s">
        <v>906</v>
      </c>
    </row>
    <row r="5" ht="13.5" thickBot="1">
      <c r="B5" t="s">
        <v>907</v>
      </c>
    </row>
    <row r="6" spans="1:66" ht="16.5" customHeight="1">
      <c r="A6" s="401" t="s">
        <v>5</v>
      </c>
      <c r="B6" s="404" t="s">
        <v>6</v>
      </c>
      <c r="C6" s="399" t="s">
        <v>7</v>
      </c>
      <c r="D6" s="399" t="s">
        <v>8</v>
      </c>
      <c r="E6" s="399" t="s">
        <v>9</v>
      </c>
      <c r="F6" s="399" t="s">
        <v>10</v>
      </c>
      <c r="G6" s="399" t="s">
        <v>11</v>
      </c>
      <c r="H6" s="399" t="s">
        <v>12</v>
      </c>
      <c r="I6" s="426" t="s">
        <v>13</v>
      </c>
      <c r="J6" s="439"/>
      <c r="K6" s="439"/>
      <c r="L6" s="440"/>
      <c r="M6" s="418" t="s">
        <v>14</v>
      </c>
      <c r="N6" s="439"/>
      <c r="O6" s="439"/>
      <c r="P6" s="439"/>
      <c r="Q6" s="399" t="s">
        <v>15</v>
      </c>
      <c r="R6" s="426" t="s">
        <v>16</v>
      </c>
      <c r="S6" s="426"/>
      <c r="T6" s="426" t="s">
        <v>17</v>
      </c>
      <c r="U6" s="426"/>
      <c r="V6" s="399" t="s">
        <v>18</v>
      </c>
      <c r="W6" s="527" t="s">
        <v>99</v>
      </c>
      <c r="X6" s="487"/>
      <c r="Y6" s="367" t="s">
        <v>100</v>
      </c>
      <c r="Z6" s="367" t="s">
        <v>21</v>
      </c>
      <c r="AA6" s="367" t="s">
        <v>22</v>
      </c>
      <c r="AB6" s="367" t="s">
        <v>23</v>
      </c>
      <c r="AC6" s="466" t="s">
        <v>24</v>
      </c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</row>
    <row r="7" spans="1:66" s="9" customFormat="1" ht="24.75" customHeight="1">
      <c r="A7" s="427"/>
      <c r="B7" s="419"/>
      <c r="C7" s="429"/>
      <c r="D7" s="429"/>
      <c r="E7" s="429"/>
      <c r="F7" s="429"/>
      <c r="G7" s="429"/>
      <c r="H7" s="429"/>
      <c r="I7" s="429"/>
      <c r="J7" s="429"/>
      <c r="K7" s="429"/>
      <c r="L7" s="441"/>
      <c r="M7" s="419"/>
      <c r="N7" s="429"/>
      <c r="O7" s="429"/>
      <c r="P7" s="429"/>
      <c r="Q7" s="424"/>
      <c r="R7" s="63" t="s">
        <v>29</v>
      </c>
      <c r="S7" s="63" t="s">
        <v>30</v>
      </c>
      <c r="T7" s="63" t="s">
        <v>31</v>
      </c>
      <c r="U7" s="63" t="s">
        <v>30</v>
      </c>
      <c r="V7" s="63"/>
      <c r="W7" s="528"/>
      <c r="X7" s="529"/>
      <c r="Y7" s="450"/>
      <c r="Z7" s="450"/>
      <c r="AA7" s="450"/>
      <c r="AB7" s="450"/>
      <c r="AC7" s="467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</row>
    <row r="8" spans="1:66" ht="25.5" customHeight="1" thickBot="1">
      <c r="A8" s="428"/>
      <c r="B8" s="420"/>
      <c r="C8" s="430"/>
      <c r="D8" s="430"/>
      <c r="E8" s="430"/>
      <c r="F8" s="430"/>
      <c r="G8" s="430"/>
      <c r="H8" s="430"/>
      <c r="I8" s="58" t="s">
        <v>32</v>
      </c>
      <c r="J8" s="58" t="s">
        <v>33</v>
      </c>
      <c r="K8" s="58" t="s">
        <v>34</v>
      </c>
      <c r="L8" s="111" t="s">
        <v>26</v>
      </c>
      <c r="M8" s="112" t="s">
        <v>25</v>
      </c>
      <c r="N8" s="58" t="s">
        <v>26</v>
      </c>
      <c r="O8" s="58" t="s">
        <v>27</v>
      </c>
      <c r="P8" s="58" t="s">
        <v>28</v>
      </c>
      <c r="Q8" s="425"/>
      <c r="R8" s="377"/>
      <c r="S8" s="377"/>
      <c r="T8" s="425"/>
      <c r="U8" s="377"/>
      <c r="V8" s="377"/>
      <c r="W8" s="528"/>
      <c r="X8" s="529"/>
      <c r="Y8" s="450"/>
      <c r="Z8" s="450"/>
      <c r="AA8" s="450"/>
      <c r="AB8" s="450"/>
      <c r="AC8" s="46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</row>
    <row r="9" spans="1:30" ht="12.75">
      <c r="A9" s="98">
        <v>3</v>
      </c>
      <c r="B9" s="113">
        <v>11096</v>
      </c>
      <c r="C9" s="100">
        <v>1</v>
      </c>
      <c r="D9" s="101">
        <v>10200501</v>
      </c>
      <c r="E9" s="113" t="s">
        <v>908</v>
      </c>
      <c r="F9" s="101" t="s">
        <v>38</v>
      </c>
      <c r="G9" s="101">
        <v>3236</v>
      </c>
      <c r="H9" s="113" t="s">
        <v>909</v>
      </c>
      <c r="I9" s="113">
        <v>476174</v>
      </c>
      <c r="J9" s="113" t="s">
        <v>910</v>
      </c>
      <c r="K9" s="99">
        <v>65</v>
      </c>
      <c r="L9" s="113" t="s">
        <v>911</v>
      </c>
      <c r="M9" s="99">
        <v>5497</v>
      </c>
      <c r="N9" s="113" t="s">
        <v>566</v>
      </c>
      <c r="O9" s="101">
        <v>1</v>
      </c>
      <c r="P9" s="101">
        <v>50.61</v>
      </c>
      <c r="Q9" s="101" t="s">
        <v>43</v>
      </c>
      <c r="R9" s="101" t="s">
        <v>912</v>
      </c>
      <c r="S9" s="101">
        <v>71</v>
      </c>
      <c r="T9" s="101" t="s">
        <v>913</v>
      </c>
      <c r="U9" s="101">
        <v>16</v>
      </c>
      <c r="V9" s="101">
        <v>86</v>
      </c>
      <c r="W9" s="113"/>
      <c r="X9" s="131">
        <f>I9*2000*M9*(AA9/1000000)/2000</f>
        <v>1047.0113912000002</v>
      </c>
      <c r="Y9" s="131"/>
      <c r="Z9" s="101">
        <v>1</v>
      </c>
      <c r="AA9" s="113">
        <v>0.4</v>
      </c>
      <c r="AB9" s="113" t="s">
        <v>751</v>
      </c>
      <c r="AC9" s="115" t="s">
        <v>103</v>
      </c>
      <c r="AD9" s="321"/>
    </row>
    <row r="10" spans="1:30" ht="12.75">
      <c r="A10" s="83">
        <v>3</v>
      </c>
      <c r="B10" s="116">
        <v>11097</v>
      </c>
      <c r="C10" s="85" t="s">
        <v>914</v>
      </c>
      <c r="D10" s="86">
        <v>10200501</v>
      </c>
      <c r="E10" s="116" t="s">
        <v>908</v>
      </c>
      <c r="F10" s="86" t="s">
        <v>38</v>
      </c>
      <c r="G10" s="86">
        <v>3236</v>
      </c>
      <c r="H10" s="116" t="s">
        <v>915</v>
      </c>
      <c r="I10" s="116">
        <v>73739</v>
      </c>
      <c r="J10" s="116" t="s">
        <v>122</v>
      </c>
      <c r="K10" s="84">
        <v>1400</v>
      </c>
      <c r="L10" s="116" t="s">
        <v>916</v>
      </c>
      <c r="M10" s="84">
        <v>19460</v>
      </c>
      <c r="N10" s="116" t="s">
        <v>566</v>
      </c>
      <c r="O10" s="86">
        <v>0.3</v>
      </c>
      <c r="P10" s="86">
        <v>0</v>
      </c>
      <c r="Q10" s="86" t="s">
        <v>43</v>
      </c>
      <c r="R10" s="86" t="s">
        <v>912</v>
      </c>
      <c r="S10" s="86">
        <v>71</v>
      </c>
      <c r="T10" s="86" t="s">
        <v>913</v>
      </c>
      <c r="U10" s="86">
        <v>16</v>
      </c>
      <c r="V10" s="86">
        <v>86</v>
      </c>
      <c r="W10" s="116"/>
      <c r="X10" s="135">
        <f>(I10/1000)*AA10/2000</f>
        <v>4.920234775</v>
      </c>
      <c r="Y10" s="135"/>
      <c r="Z10" s="86">
        <v>3</v>
      </c>
      <c r="AA10" s="116">
        <v>133.45</v>
      </c>
      <c r="AB10" s="116" t="s">
        <v>917</v>
      </c>
      <c r="AC10" s="118" t="s">
        <v>918</v>
      </c>
      <c r="AD10" s="322"/>
    </row>
    <row r="11" spans="1:30" ht="12.75">
      <c r="A11" s="83">
        <v>3</v>
      </c>
      <c r="B11" s="116">
        <v>11098</v>
      </c>
      <c r="C11" s="85">
        <v>2</v>
      </c>
      <c r="D11" s="86">
        <v>10200501</v>
      </c>
      <c r="E11" s="116" t="s">
        <v>919</v>
      </c>
      <c r="F11" s="86" t="s">
        <v>38</v>
      </c>
      <c r="G11" s="86">
        <v>3237</v>
      </c>
      <c r="H11" s="116" t="s">
        <v>915</v>
      </c>
      <c r="I11" s="116">
        <v>250</v>
      </c>
      <c r="J11" s="116" t="s">
        <v>122</v>
      </c>
      <c r="K11" s="84">
        <v>13.6</v>
      </c>
      <c r="L11" s="116" t="s">
        <v>916</v>
      </c>
      <c r="M11" s="84">
        <v>19460</v>
      </c>
      <c r="N11" s="116" t="s">
        <v>566</v>
      </c>
      <c r="O11" s="86">
        <v>0.3</v>
      </c>
      <c r="P11" s="86">
        <v>0</v>
      </c>
      <c r="Q11" s="86" t="s">
        <v>43</v>
      </c>
      <c r="R11" s="86" t="s">
        <v>103</v>
      </c>
      <c r="S11" s="86" t="s">
        <v>103</v>
      </c>
      <c r="T11" s="86" t="s">
        <v>103</v>
      </c>
      <c r="U11" s="86" t="s">
        <v>103</v>
      </c>
      <c r="V11" s="86" t="s">
        <v>103</v>
      </c>
      <c r="W11" s="116"/>
      <c r="X11" s="135">
        <f>I11*7.05*M11*(AA11/1000000)/2000</f>
        <v>0.00497324625</v>
      </c>
      <c r="Y11" s="135"/>
      <c r="Z11" s="86">
        <v>3</v>
      </c>
      <c r="AA11" s="116">
        <v>0.29</v>
      </c>
      <c r="AB11" s="116" t="s">
        <v>751</v>
      </c>
      <c r="AC11" s="118" t="s">
        <v>920</v>
      </c>
      <c r="AD11" s="322"/>
    </row>
    <row r="12" spans="1:30" ht="12.75">
      <c r="A12" s="83">
        <v>12</v>
      </c>
      <c r="B12" s="116">
        <v>168829</v>
      </c>
      <c r="C12" s="85" t="s">
        <v>921</v>
      </c>
      <c r="D12" s="86">
        <v>20200102</v>
      </c>
      <c r="E12" s="116" t="s">
        <v>766</v>
      </c>
      <c r="F12" s="86" t="s">
        <v>38</v>
      </c>
      <c r="G12" s="86" t="s">
        <v>103</v>
      </c>
      <c r="H12" s="116" t="s">
        <v>915</v>
      </c>
      <c r="I12" s="116">
        <v>840</v>
      </c>
      <c r="J12" s="116" t="s">
        <v>122</v>
      </c>
      <c r="K12" s="84">
        <v>1.3</v>
      </c>
      <c r="L12" s="116" t="s">
        <v>916</v>
      </c>
      <c r="M12" s="84" t="s">
        <v>103</v>
      </c>
      <c r="N12" s="116" t="s">
        <v>103</v>
      </c>
      <c r="O12" s="86" t="s">
        <v>103</v>
      </c>
      <c r="P12" s="86" t="s">
        <v>103</v>
      </c>
      <c r="Q12" s="86" t="s">
        <v>43</v>
      </c>
      <c r="R12" s="86" t="s">
        <v>103</v>
      </c>
      <c r="S12" s="86" t="s">
        <v>103</v>
      </c>
      <c r="T12" s="86" t="s">
        <v>103</v>
      </c>
      <c r="U12" s="86" t="s">
        <v>103</v>
      </c>
      <c r="V12" s="86" t="s">
        <v>103</v>
      </c>
      <c r="W12" s="116"/>
      <c r="X12" s="135">
        <f>(I12/K12)*AA12/2000</f>
        <v>0.029076923076923073</v>
      </c>
      <c r="Y12" s="135"/>
      <c r="Z12" s="86">
        <v>3</v>
      </c>
      <c r="AA12" s="116">
        <v>0.09</v>
      </c>
      <c r="AB12" s="116" t="s">
        <v>49</v>
      </c>
      <c r="AC12" s="118" t="s">
        <v>922</v>
      </c>
      <c r="AD12" s="322"/>
    </row>
    <row r="13" spans="1:30" ht="12.75">
      <c r="A13" s="83">
        <v>12</v>
      </c>
      <c r="B13" s="116">
        <v>171135</v>
      </c>
      <c r="C13" s="85" t="s">
        <v>923</v>
      </c>
      <c r="D13" s="86">
        <v>20200102</v>
      </c>
      <c r="E13" s="116" t="s">
        <v>555</v>
      </c>
      <c r="F13" s="86" t="s">
        <v>38</v>
      </c>
      <c r="G13" s="86" t="s">
        <v>103</v>
      </c>
      <c r="H13" s="116" t="s">
        <v>915</v>
      </c>
      <c r="I13" s="116">
        <v>2029</v>
      </c>
      <c r="J13" s="116" t="s">
        <v>122</v>
      </c>
      <c r="K13" s="84">
        <v>1</v>
      </c>
      <c r="L13" s="116" t="s">
        <v>916</v>
      </c>
      <c r="M13" s="84" t="s">
        <v>103</v>
      </c>
      <c r="N13" s="116" t="s">
        <v>103</v>
      </c>
      <c r="O13" s="86" t="s">
        <v>103</v>
      </c>
      <c r="P13" s="86" t="s">
        <v>103</v>
      </c>
      <c r="Q13" s="86" t="s">
        <v>43</v>
      </c>
      <c r="R13" s="86" t="s">
        <v>103</v>
      </c>
      <c r="S13" s="86" t="s">
        <v>103</v>
      </c>
      <c r="T13" s="86" t="s">
        <v>103</v>
      </c>
      <c r="U13" s="86" t="s">
        <v>103</v>
      </c>
      <c r="V13" s="86" t="s">
        <v>103</v>
      </c>
      <c r="W13" s="116"/>
      <c r="X13" s="135">
        <f>(I13/K13)*AA13/2000</f>
        <v>0.091305</v>
      </c>
      <c r="Y13" s="135"/>
      <c r="Z13" s="86">
        <v>3</v>
      </c>
      <c r="AA13" s="116">
        <v>0.09</v>
      </c>
      <c r="AB13" s="116" t="s">
        <v>49</v>
      </c>
      <c r="AC13" s="118" t="s">
        <v>924</v>
      </c>
      <c r="AD13" s="322"/>
    </row>
    <row r="14" spans="1:30" ht="12.75">
      <c r="A14" s="83">
        <v>12</v>
      </c>
      <c r="B14" s="116">
        <v>171136</v>
      </c>
      <c r="C14" s="85" t="s">
        <v>925</v>
      </c>
      <c r="D14" s="86">
        <v>20200102</v>
      </c>
      <c r="E14" s="116" t="s">
        <v>926</v>
      </c>
      <c r="F14" s="86" t="s">
        <v>38</v>
      </c>
      <c r="G14" s="86" t="s">
        <v>103</v>
      </c>
      <c r="H14" s="116" t="s">
        <v>915</v>
      </c>
      <c r="I14" s="116">
        <v>16284</v>
      </c>
      <c r="J14" s="116" t="s">
        <v>122</v>
      </c>
      <c r="K14" s="84">
        <v>2.2</v>
      </c>
      <c r="L14" s="116" t="s">
        <v>916</v>
      </c>
      <c r="M14" s="84" t="s">
        <v>103</v>
      </c>
      <c r="N14" s="116" t="s">
        <v>103</v>
      </c>
      <c r="O14" s="86" t="s">
        <v>103</v>
      </c>
      <c r="P14" s="86" t="s">
        <v>103</v>
      </c>
      <c r="Q14" s="86" t="s">
        <v>43</v>
      </c>
      <c r="R14" s="86" t="s">
        <v>103</v>
      </c>
      <c r="S14" s="86" t="s">
        <v>103</v>
      </c>
      <c r="T14" s="86" t="s">
        <v>103</v>
      </c>
      <c r="U14" s="86" t="s">
        <v>103</v>
      </c>
      <c r="V14" s="86" t="s">
        <v>103</v>
      </c>
      <c r="W14" s="116"/>
      <c r="X14" s="135">
        <f>(I14/K14)*AA14/2000</f>
        <v>1.6654090909090908</v>
      </c>
      <c r="Y14" s="135"/>
      <c r="Z14" s="86">
        <v>3</v>
      </c>
      <c r="AA14" s="116">
        <v>0.45</v>
      </c>
      <c r="AB14" s="116" t="s">
        <v>49</v>
      </c>
      <c r="AC14" s="118" t="s">
        <v>927</v>
      </c>
      <c r="AD14" s="322"/>
    </row>
    <row r="15" spans="1:30" ht="12.75">
      <c r="A15" s="83">
        <v>12</v>
      </c>
      <c r="B15" s="116">
        <v>171137</v>
      </c>
      <c r="C15" s="85">
        <v>980</v>
      </c>
      <c r="D15" s="86">
        <v>20200102</v>
      </c>
      <c r="E15" s="116" t="s">
        <v>928</v>
      </c>
      <c r="F15" s="86" t="s">
        <v>38</v>
      </c>
      <c r="G15" s="86" t="s">
        <v>103</v>
      </c>
      <c r="H15" s="116" t="s">
        <v>915</v>
      </c>
      <c r="I15" s="116">
        <v>29625</v>
      </c>
      <c r="J15" s="116" t="s">
        <v>122</v>
      </c>
      <c r="K15" s="84">
        <v>6</v>
      </c>
      <c r="L15" s="116" t="s">
        <v>916</v>
      </c>
      <c r="M15" s="84" t="s">
        <v>103</v>
      </c>
      <c r="N15" s="116" t="s">
        <v>103</v>
      </c>
      <c r="O15" s="86" t="s">
        <v>103</v>
      </c>
      <c r="P15" s="86" t="s">
        <v>103</v>
      </c>
      <c r="Q15" s="86" t="s">
        <v>43</v>
      </c>
      <c r="R15" s="86" t="s">
        <v>103</v>
      </c>
      <c r="S15" s="86" t="s">
        <v>103</v>
      </c>
      <c r="T15" s="86" t="s">
        <v>103</v>
      </c>
      <c r="U15" s="86" t="s">
        <v>103</v>
      </c>
      <c r="V15" s="86" t="s">
        <v>103</v>
      </c>
      <c r="W15" s="116"/>
      <c r="X15" s="135">
        <f>(I15/K15)*AA15/2000</f>
        <v>0.444375</v>
      </c>
      <c r="Y15" s="135"/>
      <c r="Z15" s="86">
        <v>3</v>
      </c>
      <c r="AA15" s="116">
        <v>0.18</v>
      </c>
      <c r="AB15" s="116" t="s">
        <v>49</v>
      </c>
      <c r="AC15" s="118" t="s">
        <v>929</v>
      </c>
      <c r="AD15" s="322"/>
    </row>
    <row r="16" spans="1:30" ht="13.5" thickBot="1">
      <c r="A16" s="88">
        <v>12</v>
      </c>
      <c r="B16" s="119">
        <v>168826</v>
      </c>
      <c r="C16" s="90" t="s">
        <v>930</v>
      </c>
      <c r="D16" s="91">
        <v>20200102</v>
      </c>
      <c r="E16" s="119" t="s">
        <v>760</v>
      </c>
      <c r="F16" s="91" t="s">
        <v>38</v>
      </c>
      <c r="G16" s="91" t="s">
        <v>103</v>
      </c>
      <c r="H16" s="119" t="s">
        <v>915</v>
      </c>
      <c r="I16" s="119">
        <v>5613</v>
      </c>
      <c r="J16" s="119" t="s">
        <v>122</v>
      </c>
      <c r="K16" s="89">
        <v>3.5</v>
      </c>
      <c r="L16" s="119" t="s">
        <v>916</v>
      </c>
      <c r="M16" s="89" t="s">
        <v>103</v>
      </c>
      <c r="N16" s="119" t="s">
        <v>103</v>
      </c>
      <c r="O16" s="91" t="s">
        <v>103</v>
      </c>
      <c r="P16" s="91" t="s">
        <v>103</v>
      </c>
      <c r="Q16" s="91" t="s">
        <v>43</v>
      </c>
      <c r="R16" s="91" t="s">
        <v>103</v>
      </c>
      <c r="S16" s="91" t="s">
        <v>103</v>
      </c>
      <c r="T16" s="91" t="s">
        <v>103</v>
      </c>
      <c r="U16" s="91" t="s">
        <v>103</v>
      </c>
      <c r="V16" s="91" t="s">
        <v>103</v>
      </c>
      <c r="W16" s="119"/>
      <c r="X16" s="139">
        <f>(I16/K16)*AA16/2000</f>
        <v>0.07216714285714286</v>
      </c>
      <c r="Y16" s="139"/>
      <c r="Z16" s="91">
        <v>3</v>
      </c>
      <c r="AA16" s="119">
        <v>0.09</v>
      </c>
      <c r="AB16" s="119" t="s">
        <v>49</v>
      </c>
      <c r="AC16" s="122" t="s">
        <v>931</v>
      </c>
      <c r="AD16" s="323"/>
    </row>
    <row r="17" spans="22:24" ht="13.5" thickBot="1">
      <c r="V17" s="324" t="s">
        <v>124</v>
      </c>
      <c r="W17" s="325"/>
      <c r="X17" s="325">
        <f>SUM(X9:X16)</f>
        <v>1054.2389323780933</v>
      </c>
    </row>
    <row r="18" ht="13.5" thickTop="1">
      <c r="W18" s="126"/>
    </row>
    <row r="19" ht="12.75">
      <c r="C19" s="96" t="s">
        <v>125</v>
      </c>
    </row>
    <row r="20" ht="12.75">
      <c r="C20" t="s">
        <v>126</v>
      </c>
    </row>
    <row r="21" ht="12.75">
      <c r="C21" t="s">
        <v>127</v>
      </c>
    </row>
    <row r="22" ht="12.75">
      <c r="C22" t="s">
        <v>128</v>
      </c>
    </row>
    <row r="23" ht="12.75">
      <c r="C23" t="s">
        <v>932</v>
      </c>
    </row>
    <row r="24" ht="12.75">
      <c r="C24" t="s">
        <v>933</v>
      </c>
    </row>
    <row r="26" ht="12.75">
      <c r="C26" t="s">
        <v>934</v>
      </c>
    </row>
    <row r="27" ht="12.75">
      <c r="C27" t="s">
        <v>935</v>
      </c>
    </row>
    <row r="28" ht="12.75">
      <c r="C28" t="s">
        <v>936</v>
      </c>
    </row>
    <row r="30" ht="12.75">
      <c r="C30" t="s">
        <v>937</v>
      </c>
    </row>
    <row r="31" ht="12.75">
      <c r="C31" t="s">
        <v>938</v>
      </c>
    </row>
    <row r="33" ht="12.75">
      <c r="C33" t="s">
        <v>939</v>
      </c>
    </row>
    <row r="34" ht="12.75">
      <c r="C34" t="s">
        <v>940</v>
      </c>
    </row>
    <row r="35" ht="12.75">
      <c r="C35" t="s">
        <v>941</v>
      </c>
    </row>
    <row r="37" ht="12.75">
      <c r="C37" t="s">
        <v>942</v>
      </c>
    </row>
    <row r="38" ht="12.75">
      <c r="C38" t="s">
        <v>943</v>
      </c>
    </row>
    <row r="39" ht="12.75">
      <c r="C39" t="s">
        <v>289</v>
      </c>
    </row>
    <row r="40" ht="12.75">
      <c r="D40" s="107" t="s">
        <v>944</v>
      </c>
    </row>
    <row r="41" ht="12.75">
      <c r="D41" s="107" t="s">
        <v>945</v>
      </c>
    </row>
    <row r="42" ht="12.75">
      <c r="D42" s="107" t="s">
        <v>946</v>
      </c>
    </row>
    <row r="43" ht="12.75">
      <c r="D43" s="107" t="s">
        <v>947</v>
      </c>
    </row>
    <row r="44" ht="12.75">
      <c r="D44" s="107" t="s">
        <v>948</v>
      </c>
    </row>
    <row r="45" ht="12.75">
      <c r="D45" s="107" t="s">
        <v>949</v>
      </c>
    </row>
  </sheetData>
  <mergeCells count="24">
    <mergeCell ref="M6:P7"/>
    <mergeCell ref="E6:E8"/>
    <mergeCell ref="F6:F8"/>
    <mergeCell ref="G6:G8"/>
    <mergeCell ref="H6:H8"/>
    <mergeCell ref="I6:L7"/>
    <mergeCell ref="A6:A8"/>
    <mergeCell ref="B6:B8"/>
    <mergeCell ref="C6:C8"/>
    <mergeCell ref="D6:D8"/>
    <mergeCell ref="Q6:Q8"/>
    <mergeCell ref="R6:S6"/>
    <mergeCell ref="T6:U6"/>
    <mergeCell ref="V6:V8"/>
    <mergeCell ref="AC6:AC8"/>
    <mergeCell ref="R7:R8"/>
    <mergeCell ref="S7:S8"/>
    <mergeCell ref="T7:T8"/>
    <mergeCell ref="U7:U8"/>
    <mergeCell ref="AB6:AB8"/>
    <mergeCell ref="Y6:Y8"/>
    <mergeCell ref="Z6:Z8"/>
    <mergeCell ref="AA6:AA8"/>
    <mergeCell ref="W6:X8"/>
  </mergeCells>
  <printOptions horizontalCentered="1"/>
  <pageMargins left="0.27" right="0.2" top="1.4" bottom="1" header="0.5" footer="0.5"/>
  <pageSetup horizontalDpi="600" verticalDpi="600" orientation="landscape" pageOrder="overThenDown" r:id="rId1"/>
  <headerFooter alignWithMargins="0">
    <oddHeader>&amp;L
Sunnyside Cogeneration Associates
Site:  Sunnyside Cogeneration FAcility
Site ID:  10096&amp;CRegional Haze
2000 Statewide SOx Sources</oddHeader>
    <oddFooter>&amp;R&amp;D
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N36"/>
  <sheetViews>
    <sheetView workbookViewId="0" topLeftCell="A1">
      <selection activeCell="B27" sqref="B27"/>
    </sheetView>
  </sheetViews>
  <sheetFormatPr defaultColWidth="9.140625" defaultRowHeight="12.75"/>
  <cols>
    <col min="2" max="2" width="7.00390625" style="0" customWidth="1"/>
    <col min="3" max="3" width="7.421875" style="0" customWidth="1"/>
    <col min="4" max="4" width="9.28125" style="0" customWidth="1"/>
    <col min="5" max="5" width="14.00390625" style="0" customWidth="1"/>
    <col min="6" max="6" width="8.57421875" style="0" customWidth="1"/>
    <col min="7" max="7" width="11.421875" style="0" customWidth="1"/>
    <col min="8" max="8" width="10.140625" style="0" customWidth="1"/>
    <col min="9" max="9" width="8.00390625" style="0" customWidth="1"/>
    <col min="10" max="10" width="8.8515625" style="0" customWidth="1"/>
    <col min="11" max="11" width="8.00390625" style="0" customWidth="1"/>
    <col min="12" max="12" width="8.140625" style="0" customWidth="1"/>
    <col min="13" max="13" width="9.00390625" style="0" customWidth="1"/>
    <col min="14" max="14" width="5.8515625" style="0" customWidth="1"/>
    <col min="15" max="15" width="6.28125" style="0" customWidth="1"/>
    <col min="16" max="16" width="4.7109375" style="0" customWidth="1"/>
    <col min="17" max="17" width="8.8515625" style="0" customWidth="1"/>
    <col min="18" max="18" width="9.8515625" style="0" customWidth="1"/>
    <col min="19" max="19" width="9.57421875" style="0" customWidth="1"/>
    <col min="20" max="20" width="10.7109375" style="0" customWidth="1"/>
    <col min="21" max="21" width="9.28125" style="0" customWidth="1"/>
    <col min="22" max="22" width="9.57421875" style="0" customWidth="1"/>
    <col min="23" max="23" width="10.57421875" style="0" customWidth="1"/>
    <col min="24" max="24" width="0.13671875" style="0" hidden="1" customWidth="1"/>
    <col min="25" max="25" width="11.00390625" style="0" customWidth="1"/>
    <col min="26" max="26" width="8.57421875" style="0" customWidth="1"/>
    <col min="28" max="28" width="7.140625" style="0" customWidth="1"/>
    <col min="29" max="29" width="26.28125" style="0" customWidth="1"/>
  </cols>
  <sheetData>
    <row r="1" spans="1:6" ht="15.75">
      <c r="A1" s="59" t="s">
        <v>229</v>
      </c>
      <c r="B1" s="59"/>
      <c r="C1" t="s">
        <v>950</v>
      </c>
      <c r="F1" s="4" t="s">
        <v>1</v>
      </c>
    </row>
    <row r="2" spans="1:6" ht="15">
      <c r="A2" s="59"/>
      <c r="B2" s="59"/>
      <c r="F2" s="5" t="s">
        <v>95</v>
      </c>
    </row>
    <row r="3" spans="1:3" ht="12.75">
      <c r="A3" s="59" t="s">
        <v>2</v>
      </c>
      <c r="B3" s="59" t="s">
        <v>3</v>
      </c>
      <c r="C3" t="s">
        <v>951</v>
      </c>
    </row>
    <row r="4" spans="1:3" ht="12.75">
      <c r="A4" s="59">
        <v>10034</v>
      </c>
      <c r="B4" s="59" t="s">
        <v>541</v>
      </c>
      <c r="C4" t="s">
        <v>952</v>
      </c>
    </row>
    <row r="5" ht="13.5" thickBot="1">
      <c r="C5" t="s">
        <v>953</v>
      </c>
    </row>
    <row r="6" spans="1:66" ht="16.5" customHeight="1">
      <c r="A6" s="418" t="s">
        <v>5</v>
      </c>
      <c r="B6" s="399" t="s">
        <v>6</v>
      </c>
      <c r="C6" s="399" t="s">
        <v>7</v>
      </c>
      <c r="D6" s="399" t="s">
        <v>8</v>
      </c>
      <c r="E6" s="399" t="s">
        <v>9</v>
      </c>
      <c r="F6" s="399" t="s">
        <v>10</v>
      </c>
      <c r="G6" s="399" t="s">
        <v>11</v>
      </c>
      <c r="H6" s="399" t="s">
        <v>12</v>
      </c>
      <c r="I6" s="426" t="s">
        <v>13</v>
      </c>
      <c r="J6" s="439"/>
      <c r="K6" s="439"/>
      <c r="L6" s="440"/>
      <c r="M6" s="418" t="s">
        <v>14</v>
      </c>
      <c r="N6" s="439"/>
      <c r="O6" s="439"/>
      <c r="P6" s="439"/>
      <c r="Q6" s="399" t="s">
        <v>15</v>
      </c>
      <c r="R6" s="426" t="s">
        <v>16</v>
      </c>
      <c r="S6" s="426"/>
      <c r="T6" s="426" t="s">
        <v>17</v>
      </c>
      <c r="U6" s="426"/>
      <c r="V6" s="399" t="s">
        <v>18</v>
      </c>
      <c r="W6" s="527" t="s">
        <v>99</v>
      </c>
      <c r="X6" s="532"/>
      <c r="Y6" s="404" t="s">
        <v>20</v>
      </c>
      <c r="Z6" s="399" t="s">
        <v>21</v>
      </c>
      <c r="AA6" s="399" t="s">
        <v>22</v>
      </c>
      <c r="AB6" s="399" t="s">
        <v>23</v>
      </c>
      <c r="AC6" s="431" t="s">
        <v>24</v>
      </c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</row>
    <row r="7" spans="1:66" s="9" customFormat="1" ht="24.75" customHeight="1">
      <c r="A7" s="419"/>
      <c r="B7" s="429"/>
      <c r="C7" s="429"/>
      <c r="D7" s="429"/>
      <c r="E7" s="429"/>
      <c r="F7" s="429"/>
      <c r="G7" s="429"/>
      <c r="H7" s="429"/>
      <c r="I7" s="429"/>
      <c r="J7" s="429"/>
      <c r="K7" s="429"/>
      <c r="L7" s="441"/>
      <c r="M7" s="419"/>
      <c r="N7" s="429"/>
      <c r="O7" s="429"/>
      <c r="P7" s="429"/>
      <c r="Q7" s="424"/>
      <c r="R7" s="63" t="s">
        <v>855</v>
      </c>
      <c r="S7" s="63" t="s">
        <v>30</v>
      </c>
      <c r="T7" s="63" t="s">
        <v>232</v>
      </c>
      <c r="U7" s="63" t="s">
        <v>30</v>
      </c>
      <c r="V7" s="63"/>
      <c r="W7" s="528"/>
      <c r="X7" s="533"/>
      <c r="Y7" s="437"/>
      <c r="Z7" s="63"/>
      <c r="AA7" s="63"/>
      <c r="AB7" s="424"/>
      <c r="AC7" s="432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</row>
    <row r="8" spans="1:66" ht="25.5" customHeight="1" thickBot="1">
      <c r="A8" s="420"/>
      <c r="B8" s="430"/>
      <c r="C8" s="430"/>
      <c r="D8" s="430"/>
      <c r="E8" s="430"/>
      <c r="F8" s="430"/>
      <c r="G8" s="430"/>
      <c r="H8" s="430"/>
      <c r="I8" s="58" t="s">
        <v>32</v>
      </c>
      <c r="J8" s="58" t="s">
        <v>33</v>
      </c>
      <c r="K8" s="58" t="s">
        <v>34</v>
      </c>
      <c r="L8" s="111" t="s">
        <v>26</v>
      </c>
      <c r="M8" s="112" t="s">
        <v>25</v>
      </c>
      <c r="N8" s="58" t="s">
        <v>26</v>
      </c>
      <c r="O8" s="58" t="s">
        <v>27</v>
      </c>
      <c r="P8" s="58" t="s">
        <v>28</v>
      </c>
      <c r="Q8" s="425"/>
      <c r="R8" s="377"/>
      <c r="S8" s="377"/>
      <c r="T8" s="425"/>
      <c r="U8" s="377"/>
      <c r="V8" s="377"/>
      <c r="W8" s="528"/>
      <c r="X8" s="533"/>
      <c r="Y8" s="438"/>
      <c r="Z8" s="377"/>
      <c r="AA8" s="377"/>
      <c r="AB8" s="425"/>
      <c r="AC8" s="433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</row>
    <row r="9" spans="1:30" ht="12.75">
      <c r="A9" s="192" t="s">
        <v>120</v>
      </c>
      <c r="B9" s="113">
        <v>5538</v>
      </c>
      <c r="C9" s="113">
        <v>4.1</v>
      </c>
      <c r="D9" s="113">
        <v>30600904</v>
      </c>
      <c r="E9" s="113" t="s">
        <v>954</v>
      </c>
      <c r="F9" s="113" t="s">
        <v>583</v>
      </c>
      <c r="G9" s="113">
        <v>4.1</v>
      </c>
      <c r="H9" s="113" t="s">
        <v>103</v>
      </c>
      <c r="I9" s="113">
        <v>322.7</v>
      </c>
      <c r="J9" s="113" t="s">
        <v>296</v>
      </c>
      <c r="K9" s="113">
        <v>848</v>
      </c>
      <c r="L9" s="113" t="s">
        <v>60</v>
      </c>
      <c r="M9" s="113"/>
      <c r="N9" s="113"/>
      <c r="O9" s="113"/>
      <c r="P9" s="113"/>
      <c r="Q9" s="113" t="s">
        <v>43</v>
      </c>
      <c r="R9" s="113" t="s">
        <v>103</v>
      </c>
      <c r="S9" s="113">
        <v>0</v>
      </c>
      <c r="T9" s="113" t="s">
        <v>103</v>
      </c>
      <c r="U9" s="113">
        <v>0</v>
      </c>
      <c r="V9" s="113">
        <v>0</v>
      </c>
      <c r="W9" s="113">
        <v>52.58</v>
      </c>
      <c r="X9" s="113">
        <v>0</v>
      </c>
      <c r="Y9" s="113"/>
      <c r="Z9" s="113">
        <v>3</v>
      </c>
      <c r="AA9" s="113">
        <v>2</v>
      </c>
      <c r="AB9" s="113"/>
      <c r="AC9" s="115" t="s">
        <v>955</v>
      </c>
      <c r="AD9" s="321"/>
    </row>
    <row r="10" spans="1:30" ht="13.5" thickBot="1">
      <c r="A10" s="196" t="s">
        <v>120</v>
      </c>
      <c r="B10" s="119">
        <v>5539</v>
      </c>
      <c r="C10" s="119">
        <v>4.2</v>
      </c>
      <c r="D10" s="119">
        <v>30609904</v>
      </c>
      <c r="E10" s="119" t="s">
        <v>956</v>
      </c>
      <c r="F10" s="119" t="s">
        <v>583</v>
      </c>
      <c r="G10" s="119">
        <v>4.2</v>
      </c>
      <c r="H10" s="119" t="s">
        <v>109</v>
      </c>
      <c r="I10" s="119">
        <v>576.4</v>
      </c>
      <c r="J10" s="119" t="s">
        <v>296</v>
      </c>
      <c r="K10" s="119">
        <v>989</v>
      </c>
      <c r="L10" s="119" t="s">
        <v>60</v>
      </c>
      <c r="M10" s="119"/>
      <c r="N10" s="119"/>
      <c r="O10" s="119">
        <v>0</v>
      </c>
      <c r="P10" s="119">
        <v>0</v>
      </c>
      <c r="Q10" s="119" t="s">
        <v>43</v>
      </c>
      <c r="R10" s="119" t="s">
        <v>103</v>
      </c>
      <c r="S10" s="119">
        <v>0</v>
      </c>
      <c r="T10" s="119" t="s">
        <v>103</v>
      </c>
      <c r="U10" s="119">
        <v>0</v>
      </c>
      <c r="V10" s="119">
        <v>0</v>
      </c>
      <c r="W10" s="119">
        <v>1199.1</v>
      </c>
      <c r="X10" s="119">
        <v>0</v>
      </c>
      <c r="Y10" s="119"/>
      <c r="Z10" s="119">
        <v>4</v>
      </c>
      <c r="AA10" s="326">
        <f>F31</f>
        <v>273.77416666666664</v>
      </c>
      <c r="AB10" s="119" t="s">
        <v>49</v>
      </c>
      <c r="AC10" s="122" t="s">
        <v>957</v>
      </c>
      <c r="AD10" s="323"/>
    </row>
    <row r="11" spans="13:23" ht="13.5" thickBot="1">
      <c r="M11" s="107"/>
      <c r="N11" s="107"/>
      <c r="O11" s="107"/>
      <c r="P11" s="107"/>
      <c r="Q11" s="107"/>
      <c r="R11" s="107"/>
      <c r="S11" s="107"/>
      <c r="T11" s="107"/>
      <c r="U11" s="107"/>
      <c r="V11" s="140" t="s">
        <v>631</v>
      </c>
      <c r="W11" s="327">
        <f>SUM(W9:W10)</f>
        <v>1251.6799999999998</v>
      </c>
    </row>
    <row r="12" ht="13.5" thickTop="1">
      <c r="C12" s="59" t="s">
        <v>125</v>
      </c>
    </row>
    <row r="13" spans="3:11" ht="12.75">
      <c r="C13" t="s">
        <v>958</v>
      </c>
      <c r="K13" s="96"/>
    </row>
    <row r="14" ht="12.75">
      <c r="D14" t="s">
        <v>959</v>
      </c>
    </row>
    <row r="16" ht="12.75">
      <c r="E16" t="s">
        <v>960</v>
      </c>
    </row>
    <row r="18" spans="5:8" ht="12.75">
      <c r="E18" s="86" t="s">
        <v>961</v>
      </c>
      <c r="F18" s="328" t="s">
        <v>962</v>
      </c>
      <c r="H18" s="107"/>
    </row>
    <row r="19" spans="5:6" ht="12.75">
      <c r="E19" s="329">
        <v>36526</v>
      </c>
      <c r="F19" s="330">
        <v>376.4</v>
      </c>
    </row>
    <row r="20" spans="5:6" ht="12.75">
      <c r="E20" s="329">
        <v>36557</v>
      </c>
      <c r="F20" s="330">
        <v>387.6</v>
      </c>
    </row>
    <row r="21" spans="5:6" ht="12.75">
      <c r="E21" s="329">
        <v>36586</v>
      </c>
      <c r="F21" s="330">
        <v>194.2</v>
      </c>
    </row>
    <row r="22" spans="5:6" ht="12.75">
      <c r="E22" s="329">
        <v>36617</v>
      </c>
      <c r="F22" s="330">
        <v>190.2</v>
      </c>
    </row>
    <row r="23" spans="5:6" ht="12.75">
      <c r="E23" s="329">
        <v>36647</v>
      </c>
      <c r="F23" s="330">
        <v>183</v>
      </c>
    </row>
    <row r="24" spans="5:6" ht="12.75">
      <c r="E24" s="329">
        <v>36678</v>
      </c>
      <c r="F24" s="330">
        <v>227.34</v>
      </c>
    </row>
    <row r="25" spans="5:6" ht="12.75">
      <c r="E25" s="329">
        <v>36708</v>
      </c>
      <c r="F25" s="330">
        <v>391.69</v>
      </c>
    </row>
    <row r="26" spans="5:6" ht="12.75">
      <c r="E26" s="329">
        <v>36739</v>
      </c>
      <c r="F26" s="330">
        <v>183.07</v>
      </c>
    </row>
    <row r="27" spans="5:6" ht="12.75">
      <c r="E27" s="329">
        <v>36770</v>
      </c>
      <c r="F27" s="330">
        <v>226.76</v>
      </c>
    </row>
    <row r="28" spans="5:6" ht="12.75">
      <c r="E28" s="329">
        <v>36800</v>
      </c>
      <c r="F28" s="330">
        <v>271.81</v>
      </c>
    </row>
    <row r="29" spans="5:6" ht="12.75">
      <c r="E29" s="329">
        <v>36831</v>
      </c>
      <c r="F29" s="330">
        <v>323.22</v>
      </c>
    </row>
    <row r="30" spans="5:6" ht="12.75">
      <c r="E30" s="331">
        <v>36861</v>
      </c>
      <c r="F30" s="332">
        <v>330</v>
      </c>
    </row>
    <row r="31" spans="5:6" ht="12.75">
      <c r="E31" t="s">
        <v>963</v>
      </c>
      <c r="F31" s="200">
        <f>AVERAGE(F19:F30)</f>
        <v>273.77416666666664</v>
      </c>
    </row>
    <row r="32" spans="5:6" ht="12.75">
      <c r="E32" s="333" t="s">
        <v>964</v>
      </c>
      <c r="F32">
        <v>8760</v>
      </c>
    </row>
    <row r="33" spans="5:6" ht="12.75">
      <c r="E33" t="s">
        <v>965</v>
      </c>
      <c r="F33" s="334">
        <f>F31*F32/2000</f>
        <v>1199.1308499999998</v>
      </c>
    </row>
    <row r="35" ht="12.75">
      <c r="C35" t="s">
        <v>289</v>
      </c>
    </row>
    <row r="36" ht="12.75">
      <c r="D36" t="s">
        <v>966</v>
      </c>
    </row>
  </sheetData>
  <mergeCells count="24">
    <mergeCell ref="M6:P7"/>
    <mergeCell ref="E6:E8"/>
    <mergeCell ref="F6:F8"/>
    <mergeCell ref="G6:G8"/>
    <mergeCell ref="H6:H8"/>
    <mergeCell ref="I6:L7"/>
    <mergeCell ref="A6:A8"/>
    <mergeCell ref="B6:B8"/>
    <mergeCell ref="C6:C8"/>
    <mergeCell ref="D6:D8"/>
    <mergeCell ref="Q6:Q8"/>
    <mergeCell ref="R6:S6"/>
    <mergeCell ref="T6:U6"/>
    <mergeCell ref="V6:V8"/>
    <mergeCell ref="AC6:AC8"/>
    <mergeCell ref="R7:R8"/>
    <mergeCell ref="S7:S8"/>
    <mergeCell ref="T7:T8"/>
    <mergeCell ref="U7:U8"/>
    <mergeCell ref="AB6:AB8"/>
    <mergeCell ref="Y6:Y8"/>
    <mergeCell ref="Z6:Z8"/>
    <mergeCell ref="AA6:AA8"/>
    <mergeCell ref="W6:X8"/>
  </mergeCells>
  <printOptions horizontalCentered="1"/>
  <pageMargins left="0.27" right="0.16" top="1.43" bottom="1" header="0.5" footer="0.5"/>
  <pageSetup horizontalDpi="600" verticalDpi="600" orientation="landscape" r:id="rId1"/>
  <headerFooter alignWithMargins="0">
    <oddHeader>&amp;L
Tom Brown Inc.
Site:  Lisbon Plant 
Site ID:  10034&amp;CRegional Haze
2000 Statewide SOx Sources</oddHeader>
    <oddFooter>&amp;R&amp;D
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39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3" max="3" width="14.7109375" style="0" customWidth="1"/>
    <col min="4" max="4" width="11.7109375" style="0" customWidth="1"/>
    <col min="5" max="5" width="30.7109375" style="0" customWidth="1"/>
    <col min="6" max="6" width="8.00390625" style="0" customWidth="1"/>
    <col min="7" max="7" width="10.7109375" style="0" customWidth="1"/>
    <col min="8" max="8" width="13.00390625" style="0" customWidth="1"/>
    <col min="12" max="12" width="9.7109375" style="0" customWidth="1"/>
    <col min="14" max="14" width="10.7109375" style="0" customWidth="1"/>
    <col min="18" max="18" width="17.00390625" style="0" customWidth="1"/>
    <col min="20" max="20" width="19.8515625" style="0" customWidth="1"/>
    <col min="22" max="22" width="10.28125" style="0" customWidth="1"/>
    <col min="23" max="24" width="11.7109375" style="0" customWidth="1"/>
    <col min="27" max="27" width="9.57421875" style="0" customWidth="1"/>
    <col min="28" max="28" width="29.140625" style="0" customWidth="1"/>
  </cols>
  <sheetData>
    <row r="1" spans="1:5" ht="15.75">
      <c r="A1" s="96" t="s">
        <v>967</v>
      </c>
      <c r="B1" s="59"/>
      <c r="E1" s="4" t="s">
        <v>1</v>
      </c>
    </row>
    <row r="2" spans="1:5" ht="15">
      <c r="A2" s="59"/>
      <c r="E2" s="5" t="s">
        <v>95</v>
      </c>
    </row>
    <row r="3" spans="1:2" ht="12.75">
      <c r="A3" s="96" t="s">
        <v>2</v>
      </c>
      <c r="B3" s="96" t="s">
        <v>968</v>
      </c>
    </row>
    <row r="4" spans="1:2" ht="12.75">
      <c r="A4" s="96">
        <v>10354</v>
      </c>
      <c r="B4" s="96" t="s">
        <v>969</v>
      </c>
    </row>
    <row r="5" ht="12.75">
      <c r="B5" t="s">
        <v>970</v>
      </c>
    </row>
    <row r="6" spans="17:28" ht="16.5" customHeight="1">
      <c r="Q6" s="233"/>
      <c r="R6" s="493" t="s">
        <v>16</v>
      </c>
      <c r="S6" s="414"/>
      <c r="T6" s="494" t="s">
        <v>17</v>
      </c>
      <c r="U6" s="414"/>
      <c r="V6" s="396" t="s">
        <v>18</v>
      </c>
      <c r="W6" s="396" t="s">
        <v>19</v>
      </c>
      <c r="X6" s="396" t="s">
        <v>100</v>
      </c>
      <c r="Y6" s="396" t="s">
        <v>21</v>
      </c>
      <c r="Z6" s="396" t="s">
        <v>22</v>
      </c>
      <c r="AA6" s="396" t="s">
        <v>23</v>
      </c>
      <c r="AB6" s="502" t="s">
        <v>24</v>
      </c>
    </row>
    <row r="7" spans="2:28" s="9" customFormat="1" ht="24.75" customHeight="1">
      <c r="B7" s="500" t="s">
        <v>6</v>
      </c>
      <c r="C7" s="478" t="s">
        <v>7</v>
      </c>
      <c r="D7" s="478" t="s">
        <v>8</v>
      </c>
      <c r="E7" s="478" t="s">
        <v>9</v>
      </c>
      <c r="F7" s="478" t="s">
        <v>10</v>
      </c>
      <c r="G7" s="478" t="s">
        <v>11</v>
      </c>
      <c r="H7" s="478" t="s">
        <v>12</v>
      </c>
      <c r="I7" s="496" t="s">
        <v>576</v>
      </c>
      <c r="J7" s="504"/>
      <c r="K7" s="504"/>
      <c r="L7" s="505"/>
      <c r="M7" s="496" t="s">
        <v>14</v>
      </c>
      <c r="N7" s="497"/>
      <c r="O7" s="497"/>
      <c r="P7" s="498"/>
      <c r="Q7" s="396" t="s">
        <v>15</v>
      </c>
      <c r="R7" s="396" t="s">
        <v>29</v>
      </c>
      <c r="S7" s="397" t="s">
        <v>30</v>
      </c>
      <c r="T7" s="478" t="s">
        <v>101</v>
      </c>
      <c r="U7" s="379" t="s">
        <v>30</v>
      </c>
      <c r="V7" s="385"/>
      <c r="W7" s="385"/>
      <c r="X7" s="385"/>
      <c r="Y7" s="385"/>
      <c r="Z7" s="385"/>
      <c r="AA7" s="414"/>
      <c r="AB7" s="388"/>
    </row>
    <row r="8" spans="1:28" ht="25.5" customHeight="1">
      <c r="A8" s="9" t="s">
        <v>5</v>
      </c>
      <c r="B8" s="501"/>
      <c r="C8" s="492"/>
      <c r="D8" s="492"/>
      <c r="E8" s="492"/>
      <c r="F8" s="503"/>
      <c r="G8" s="503"/>
      <c r="H8" s="503"/>
      <c r="I8" s="57" t="s">
        <v>32</v>
      </c>
      <c r="J8" s="57" t="s">
        <v>33</v>
      </c>
      <c r="K8" s="57" t="s">
        <v>34</v>
      </c>
      <c r="L8" s="57" t="s">
        <v>26</v>
      </c>
      <c r="M8" s="57" t="s">
        <v>25</v>
      </c>
      <c r="N8" s="57" t="s">
        <v>26</v>
      </c>
      <c r="O8" s="57" t="s">
        <v>27</v>
      </c>
      <c r="P8" s="234" t="s">
        <v>28</v>
      </c>
      <c r="Q8" s="385"/>
      <c r="R8" s="385"/>
      <c r="S8" s="499"/>
      <c r="T8" s="492"/>
      <c r="U8" s="382"/>
      <c r="V8" s="385"/>
      <c r="W8" s="385"/>
      <c r="X8" s="385"/>
      <c r="Y8" s="385"/>
      <c r="Z8" s="385"/>
      <c r="AA8" s="414"/>
      <c r="AB8" s="388"/>
    </row>
    <row r="9" spans="1:28" ht="12.75">
      <c r="A9" s="9">
        <v>3</v>
      </c>
      <c r="B9">
        <v>7858</v>
      </c>
      <c r="C9" s="253">
        <v>1</v>
      </c>
      <c r="D9" s="9">
        <v>10200602</v>
      </c>
      <c r="E9" t="s">
        <v>971</v>
      </c>
      <c r="F9" s="9" t="s">
        <v>52</v>
      </c>
      <c r="G9" s="9">
        <v>1</v>
      </c>
      <c r="H9" t="s">
        <v>109</v>
      </c>
      <c r="I9">
        <v>94.22</v>
      </c>
      <c r="J9" t="s">
        <v>688</v>
      </c>
      <c r="K9" s="221">
        <v>71916</v>
      </c>
      <c r="L9" t="s">
        <v>704</v>
      </c>
      <c r="M9" s="221">
        <v>940</v>
      </c>
      <c r="N9" t="s">
        <v>60</v>
      </c>
      <c r="O9" s="9">
        <v>0</v>
      </c>
      <c r="P9" s="9">
        <v>0</v>
      </c>
      <c r="Q9" s="9" t="s">
        <v>103</v>
      </c>
      <c r="R9" s="9" t="s">
        <v>972</v>
      </c>
      <c r="S9" s="9">
        <v>24</v>
      </c>
      <c r="T9" s="9" t="s">
        <v>103</v>
      </c>
      <c r="U9" s="9" t="s">
        <v>103</v>
      </c>
      <c r="V9" s="9" t="s">
        <v>103</v>
      </c>
      <c r="W9" s="335">
        <f>I9*Z9/2000</f>
        <v>0.028266</v>
      </c>
      <c r="X9" s="9">
        <v>0</v>
      </c>
      <c r="Y9" s="9">
        <v>8</v>
      </c>
      <c r="Z9">
        <v>0.6</v>
      </c>
      <c r="AA9" t="s">
        <v>712</v>
      </c>
      <c r="AB9" t="s">
        <v>103</v>
      </c>
    </row>
    <row r="10" spans="1:28" ht="12.75">
      <c r="A10" s="9">
        <v>3</v>
      </c>
      <c r="B10">
        <v>7859</v>
      </c>
      <c r="C10" s="253">
        <v>2</v>
      </c>
      <c r="D10" s="9">
        <v>10200602</v>
      </c>
      <c r="E10" t="s">
        <v>973</v>
      </c>
      <c r="F10" s="9" t="s">
        <v>52</v>
      </c>
      <c r="G10" s="9">
        <v>2</v>
      </c>
      <c r="H10" t="s">
        <v>109</v>
      </c>
      <c r="I10">
        <v>55.12</v>
      </c>
      <c r="J10" t="s">
        <v>688</v>
      </c>
      <c r="K10" s="221">
        <v>71916</v>
      </c>
      <c r="L10" t="s">
        <v>704</v>
      </c>
      <c r="M10" s="221">
        <v>940</v>
      </c>
      <c r="N10" t="s">
        <v>60</v>
      </c>
      <c r="O10" s="9">
        <v>0</v>
      </c>
      <c r="P10" s="9">
        <v>0</v>
      </c>
      <c r="Q10" s="9" t="s">
        <v>103</v>
      </c>
      <c r="R10" s="9" t="s">
        <v>972</v>
      </c>
      <c r="S10" s="9">
        <v>24</v>
      </c>
      <c r="T10" s="9" t="s">
        <v>103</v>
      </c>
      <c r="U10" s="9" t="s">
        <v>103</v>
      </c>
      <c r="V10" s="9" t="s">
        <v>103</v>
      </c>
      <c r="W10" s="335">
        <f aca="true" t="shared" si="0" ref="W10:W21">I10*Z10/2000</f>
        <v>0.016536</v>
      </c>
      <c r="X10" s="9">
        <v>0</v>
      </c>
      <c r="Y10" s="9">
        <v>8</v>
      </c>
      <c r="Z10">
        <v>0.6</v>
      </c>
      <c r="AA10" t="s">
        <v>712</v>
      </c>
      <c r="AB10" t="s">
        <v>103</v>
      </c>
    </row>
    <row r="11" spans="1:28" ht="12.75">
      <c r="A11" s="9">
        <v>3</v>
      </c>
      <c r="B11">
        <v>7860</v>
      </c>
      <c r="C11" s="253">
        <v>3</v>
      </c>
      <c r="D11" s="9">
        <v>10200602</v>
      </c>
      <c r="E11" t="s">
        <v>974</v>
      </c>
      <c r="F11" s="9" t="s">
        <v>52</v>
      </c>
      <c r="G11" s="9">
        <v>3</v>
      </c>
      <c r="H11" t="s">
        <v>109</v>
      </c>
      <c r="I11">
        <v>410.82</v>
      </c>
      <c r="J11" t="s">
        <v>688</v>
      </c>
      <c r="K11" s="221">
        <v>1123032</v>
      </c>
      <c r="L11" t="s">
        <v>704</v>
      </c>
      <c r="M11" s="221">
        <v>940</v>
      </c>
      <c r="N11" t="s">
        <v>60</v>
      </c>
      <c r="O11" s="9">
        <v>0</v>
      </c>
      <c r="P11" s="9">
        <v>0</v>
      </c>
      <c r="Q11" s="9" t="s">
        <v>103</v>
      </c>
      <c r="R11" s="9" t="s">
        <v>972</v>
      </c>
      <c r="S11" s="9">
        <v>24</v>
      </c>
      <c r="T11" s="9" t="s">
        <v>103</v>
      </c>
      <c r="U11" s="9" t="s">
        <v>103</v>
      </c>
      <c r="V11" s="9" t="s">
        <v>103</v>
      </c>
      <c r="W11" s="335">
        <f t="shared" si="0"/>
        <v>0.123246</v>
      </c>
      <c r="X11" s="9">
        <v>0</v>
      </c>
      <c r="Y11" s="9">
        <v>8</v>
      </c>
      <c r="Z11">
        <v>0.6</v>
      </c>
      <c r="AA11" t="s">
        <v>712</v>
      </c>
      <c r="AB11" t="s">
        <v>103</v>
      </c>
    </row>
    <row r="12" spans="1:28" ht="12.75">
      <c r="A12" s="9">
        <v>3</v>
      </c>
      <c r="B12">
        <v>7861</v>
      </c>
      <c r="C12" s="253">
        <v>4</v>
      </c>
      <c r="D12" s="9">
        <v>10200602</v>
      </c>
      <c r="E12" t="s">
        <v>975</v>
      </c>
      <c r="F12" s="9" t="s">
        <v>52</v>
      </c>
      <c r="G12" s="9">
        <v>4</v>
      </c>
      <c r="H12" t="s">
        <v>109</v>
      </c>
      <c r="I12">
        <v>178.38</v>
      </c>
      <c r="J12" t="s">
        <v>688</v>
      </c>
      <c r="K12" s="221">
        <v>1123032</v>
      </c>
      <c r="L12" t="s">
        <v>704</v>
      </c>
      <c r="M12" s="221">
        <v>940</v>
      </c>
      <c r="N12" t="s">
        <v>60</v>
      </c>
      <c r="O12" s="9">
        <v>0</v>
      </c>
      <c r="P12" s="9">
        <v>0</v>
      </c>
      <c r="Q12" s="9" t="s">
        <v>103</v>
      </c>
      <c r="R12" s="9" t="s">
        <v>972</v>
      </c>
      <c r="S12" s="9">
        <v>24</v>
      </c>
      <c r="T12" s="9" t="s">
        <v>103</v>
      </c>
      <c r="U12" s="9" t="s">
        <v>103</v>
      </c>
      <c r="V12" s="9" t="s">
        <v>103</v>
      </c>
      <c r="W12" s="335">
        <f t="shared" si="0"/>
        <v>0.053514</v>
      </c>
      <c r="X12" s="9">
        <v>0</v>
      </c>
      <c r="Y12" s="9">
        <v>8</v>
      </c>
      <c r="Z12">
        <v>0.6</v>
      </c>
      <c r="AA12" t="s">
        <v>712</v>
      </c>
      <c r="AB12" t="s">
        <v>103</v>
      </c>
    </row>
    <row r="13" spans="1:28" ht="12.75">
      <c r="A13" s="9">
        <v>3</v>
      </c>
      <c r="B13">
        <v>7863</v>
      </c>
      <c r="C13" s="253">
        <v>5</v>
      </c>
      <c r="D13" s="9">
        <v>10200602</v>
      </c>
      <c r="E13" t="s">
        <v>976</v>
      </c>
      <c r="F13" s="9" t="s">
        <v>52</v>
      </c>
      <c r="G13" s="9">
        <v>5</v>
      </c>
      <c r="H13" t="s">
        <v>109</v>
      </c>
      <c r="I13">
        <v>198.75</v>
      </c>
      <c r="J13" t="s">
        <v>688</v>
      </c>
      <c r="K13" s="221">
        <v>1123032</v>
      </c>
      <c r="L13" t="s">
        <v>704</v>
      </c>
      <c r="M13" s="221">
        <v>940</v>
      </c>
      <c r="N13" t="s">
        <v>60</v>
      </c>
      <c r="O13" s="9">
        <v>0</v>
      </c>
      <c r="P13" s="9">
        <v>0</v>
      </c>
      <c r="Q13" s="9" t="s">
        <v>103</v>
      </c>
      <c r="R13" s="9" t="s">
        <v>972</v>
      </c>
      <c r="S13" s="9">
        <v>24</v>
      </c>
      <c r="T13" s="9" t="s">
        <v>103</v>
      </c>
      <c r="U13" s="9" t="s">
        <v>103</v>
      </c>
      <c r="V13" s="9" t="s">
        <v>103</v>
      </c>
      <c r="W13" s="335">
        <f t="shared" si="0"/>
        <v>0.059625</v>
      </c>
      <c r="X13" s="9">
        <v>0</v>
      </c>
      <c r="Y13" s="9">
        <v>8</v>
      </c>
      <c r="Z13">
        <v>0.6</v>
      </c>
      <c r="AA13" t="s">
        <v>712</v>
      </c>
      <c r="AB13" t="s">
        <v>103</v>
      </c>
    </row>
    <row r="14" spans="1:28" ht="12.75">
      <c r="A14" s="9">
        <v>3</v>
      </c>
      <c r="B14">
        <v>171063</v>
      </c>
      <c r="C14" s="253">
        <v>1</v>
      </c>
      <c r="D14" s="9">
        <v>10200602</v>
      </c>
      <c r="E14" t="s">
        <v>971</v>
      </c>
      <c r="F14" s="9" t="s">
        <v>52</v>
      </c>
      <c r="G14" s="9">
        <v>1</v>
      </c>
      <c r="H14" t="s">
        <v>360</v>
      </c>
      <c r="I14">
        <v>2.46</v>
      </c>
      <c r="J14" t="s">
        <v>910</v>
      </c>
      <c r="K14" s="221">
        <v>71916</v>
      </c>
      <c r="L14" t="s">
        <v>704</v>
      </c>
      <c r="M14" s="221">
        <v>24.6</v>
      </c>
      <c r="N14" t="s">
        <v>106</v>
      </c>
      <c r="O14" s="9">
        <v>0.4</v>
      </c>
      <c r="P14" s="9">
        <v>0.65</v>
      </c>
      <c r="Q14" s="9" t="s">
        <v>103</v>
      </c>
      <c r="R14" s="9" t="s">
        <v>103</v>
      </c>
      <c r="S14" s="9" t="s">
        <v>103</v>
      </c>
      <c r="T14" s="9" t="s">
        <v>103</v>
      </c>
      <c r="U14" s="9" t="s">
        <v>103</v>
      </c>
      <c r="V14" s="9" t="s">
        <v>103</v>
      </c>
      <c r="W14" s="335">
        <f t="shared" si="0"/>
        <v>0.018695999999999997</v>
      </c>
      <c r="X14" s="9">
        <v>0</v>
      </c>
      <c r="Y14" s="9">
        <v>8</v>
      </c>
      <c r="Z14">
        <v>15.2</v>
      </c>
      <c r="AA14" t="s">
        <v>977</v>
      </c>
      <c r="AB14" t="s">
        <v>103</v>
      </c>
    </row>
    <row r="15" spans="1:28" ht="12.75">
      <c r="A15" s="9">
        <v>3</v>
      </c>
      <c r="B15">
        <v>171064</v>
      </c>
      <c r="C15" s="253">
        <v>3</v>
      </c>
      <c r="D15" s="9">
        <v>10200602</v>
      </c>
      <c r="E15" t="s">
        <v>974</v>
      </c>
      <c r="F15" s="9" t="s">
        <v>52</v>
      </c>
      <c r="G15" s="9">
        <v>3</v>
      </c>
      <c r="H15" t="s">
        <v>360</v>
      </c>
      <c r="I15">
        <v>13.75</v>
      </c>
      <c r="J15" t="s">
        <v>910</v>
      </c>
      <c r="K15" s="221">
        <v>1123032</v>
      </c>
      <c r="L15" t="s">
        <v>704</v>
      </c>
      <c r="M15" s="221">
        <v>24.6</v>
      </c>
      <c r="N15" t="s">
        <v>106</v>
      </c>
      <c r="O15" s="9">
        <v>0.4</v>
      </c>
      <c r="P15" s="9">
        <v>0.65</v>
      </c>
      <c r="Q15" s="9" t="s">
        <v>103</v>
      </c>
      <c r="R15" s="9" t="s">
        <v>103</v>
      </c>
      <c r="S15" s="9" t="s">
        <v>103</v>
      </c>
      <c r="T15" s="9" t="s">
        <v>103</v>
      </c>
      <c r="U15" s="9" t="s">
        <v>103</v>
      </c>
      <c r="V15" s="9" t="s">
        <v>103</v>
      </c>
      <c r="W15" s="335">
        <f t="shared" si="0"/>
        <v>0.1045</v>
      </c>
      <c r="X15" s="9">
        <v>0</v>
      </c>
      <c r="Y15" s="9">
        <v>8</v>
      </c>
      <c r="Z15">
        <v>15.2</v>
      </c>
      <c r="AA15" t="s">
        <v>977</v>
      </c>
      <c r="AB15" t="s">
        <v>103</v>
      </c>
    </row>
    <row r="16" spans="1:28" ht="12.75">
      <c r="A16" s="9">
        <v>3</v>
      </c>
      <c r="B16">
        <v>171065</v>
      </c>
      <c r="C16" s="253">
        <v>5</v>
      </c>
      <c r="D16" s="9">
        <v>10200602</v>
      </c>
      <c r="E16" t="s">
        <v>976</v>
      </c>
      <c r="F16" s="9" t="s">
        <v>52</v>
      </c>
      <c r="G16" s="9">
        <v>5</v>
      </c>
      <c r="H16" t="s">
        <v>360</v>
      </c>
      <c r="I16">
        <v>14.5</v>
      </c>
      <c r="J16" t="s">
        <v>910</v>
      </c>
      <c r="K16" s="221">
        <v>1123032</v>
      </c>
      <c r="L16" t="s">
        <v>704</v>
      </c>
      <c r="M16" s="221">
        <v>24.6</v>
      </c>
      <c r="N16" t="s">
        <v>106</v>
      </c>
      <c r="O16" s="9">
        <v>0.4</v>
      </c>
      <c r="P16" s="9">
        <v>0.65</v>
      </c>
      <c r="Q16" s="9" t="s">
        <v>103</v>
      </c>
      <c r="R16" s="9" t="s">
        <v>103</v>
      </c>
      <c r="S16" s="9" t="s">
        <v>103</v>
      </c>
      <c r="T16" s="9" t="s">
        <v>103</v>
      </c>
      <c r="U16" s="9" t="s">
        <v>103</v>
      </c>
      <c r="V16" s="9" t="s">
        <v>103</v>
      </c>
      <c r="W16" s="335">
        <f t="shared" si="0"/>
        <v>0.11019999999999999</v>
      </c>
      <c r="X16" s="9">
        <v>0</v>
      </c>
      <c r="Y16" s="9">
        <v>8</v>
      </c>
      <c r="Z16">
        <v>15.2</v>
      </c>
      <c r="AA16" t="s">
        <v>977</v>
      </c>
      <c r="AB16" t="s">
        <v>103</v>
      </c>
    </row>
    <row r="17" spans="1:28" ht="12.75">
      <c r="A17" s="9">
        <v>3</v>
      </c>
      <c r="B17">
        <v>22491</v>
      </c>
      <c r="C17" s="253" t="s">
        <v>978</v>
      </c>
      <c r="D17" s="9">
        <v>10100601</v>
      </c>
      <c r="E17" t="s">
        <v>979</v>
      </c>
      <c r="F17" s="9" t="s">
        <v>38</v>
      </c>
      <c r="G17" s="9" t="s">
        <v>103</v>
      </c>
      <c r="H17" t="s">
        <v>109</v>
      </c>
      <c r="I17">
        <v>171.17</v>
      </c>
      <c r="J17" t="s">
        <v>688</v>
      </c>
      <c r="K17" s="221" t="s">
        <v>980</v>
      </c>
      <c r="L17" t="s">
        <v>103</v>
      </c>
      <c r="M17" s="221">
        <v>940</v>
      </c>
      <c r="N17" t="s">
        <v>60</v>
      </c>
      <c r="O17" s="9">
        <v>0</v>
      </c>
      <c r="P17" s="9">
        <v>0</v>
      </c>
      <c r="Q17" s="9" t="s">
        <v>103</v>
      </c>
      <c r="R17" s="9" t="s">
        <v>972</v>
      </c>
      <c r="S17" s="9">
        <v>24</v>
      </c>
      <c r="T17" s="9" t="s">
        <v>103</v>
      </c>
      <c r="U17" s="9" t="s">
        <v>103</v>
      </c>
      <c r="V17" s="9" t="s">
        <v>103</v>
      </c>
      <c r="W17" s="335">
        <f t="shared" si="0"/>
        <v>0.051350999999999994</v>
      </c>
      <c r="X17" s="9">
        <v>0</v>
      </c>
      <c r="Y17" s="9">
        <v>8</v>
      </c>
      <c r="Z17">
        <v>0.6</v>
      </c>
      <c r="AA17" t="s">
        <v>712</v>
      </c>
      <c r="AB17" t="s">
        <v>103</v>
      </c>
    </row>
    <row r="18" spans="1:28" ht="12.75">
      <c r="A18" s="9">
        <v>3</v>
      </c>
      <c r="B18">
        <v>22496</v>
      </c>
      <c r="C18" s="253" t="s">
        <v>981</v>
      </c>
      <c r="D18" s="9">
        <v>10100601</v>
      </c>
      <c r="E18" t="s">
        <v>982</v>
      </c>
      <c r="F18" s="9" t="s">
        <v>38</v>
      </c>
      <c r="G18" s="9" t="s">
        <v>103</v>
      </c>
      <c r="H18" t="s">
        <v>109</v>
      </c>
      <c r="I18">
        <v>0</v>
      </c>
      <c r="J18" t="s">
        <v>688</v>
      </c>
      <c r="K18" s="221" t="s">
        <v>103</v>
      </c>
      <c r="L18" t="s">
        <v>103</v>
      </c>
      <c r="M18" s="221">
        <v>940</v>
      </c>
      <c r="N18" t="s">
        <v>60</v>
      </c>
      <c r="O18" s="9">
        <v>0</v>
      </c>
      <c r="P18" s="9">
        <v>0</v>
      </c>
      <c r="Q18" s="9" t="s">
        <v>103</v>
      </c>
      <c r="R18" s="9" t="s">
        <v>103</v>
      </c>
      <c r="S18" s="9" t="s">
        <v>103</v>
      </c>
      <c r="T18" s="9" t="s">
        <v>103</v>
      </c>
      <c r="U18" s="9" t="s">
        <v>103</v>
      </c>
      <c r="V18" s="9" t="s">
        <v>103</v>
      </c>
      <c r="W18" s="335">
        <f t="shared" si="0"/>
        <v>0</v>
      </c>
      <c r="X18" s="9">
        <v>0</v>
      </c>
      <c r="Y18" s="9">
        <v>8</v>
      </c>
      <c r="Z18">
        <v>0.6</v>
      </c>
      <c r="AA18" t="s">
        <v>712</v>
      </c>
      <c r="AB18" t="s">
        <v>103</v>
      </c>
    </row>
    <row r="19" spans="1:28" ht="12.75">
      <c r="A19" s="9">
        <v>3</v>
      </c>
      <c r="B19">
        <v>22497</v>
      </c>
      <c r="C19" s="253" t="s">
        <v>983</v>
      </c>
      <c r="D19" s="9">
        <v>10200204</v>
      </c>
      <c r="E19" t="s">
        <v>984</v>
      </c>
      <c r="F19" s="9" t="s">
        <v>38</v>
      </c>
      <c r="G19" s="9" t="s">
        <v>103</v>
      </c>
      <c r="H19" t="s">
        <v>360</v>
      </c>
      <c r="I19">
        <v>0</v>
      </c>
      <c r="J19" t="s">
        <v>910</v>
      </c>
      <c r="K19" s="221" t="s">
        <v>103</v>
      </c>
      <c r="L19" t="s">
        <v>103</v>
      </c>
      <c r="M19" s="221">
        <v>24.6</v>
      </c>
      <c r="N19" t="s">
        <v>106</v>
      </c>
      <c r="O19" s="9">
        <v>0.4</v>
      </c>
      <c r="P19" s="9">
        <v>0.65</v>
      </c>
      <c r="Q19" s="9" t="s">
        <v>103</v>
      </c>
      <c r="R19" s="9" t="s">
        <v>103</v>
      </c>
      <c r="S19" s="9" t="s">
        <v>103</v>
      </c>
      <c r="T19" s="9" t="s">
        <v>103</v>
      </c>
      <c r="U19" s="9" t="s">
        <v>103</v>
      </c>
      <c r="V19" s="9" t="s">
        <v>103</v>
      </c>
      <c r="W19" s="335">
        <f t="shared" si="0"/>
        <v>0</v>
      </c>
      <c r="X19" s="9">
        <v>0</v>
      </c>
      <c r="Y19" s="9">
        <v>8</v>
      </c>
      <c r="Z19">
        <v>3.8</v>
      </c>
      <c r="AA19" t="s">
        <v>977</v>
      </c>
      <c r="AB19" t="s">
        <v>103</v>
      </c>
    </row>
    <row r="20" spans="1:28" ht="12.75">
      <c r="A20" s="9">
        <v>3</v>
      </c>
      <c r="B20">
        <v>22498</v>
      </c>
      <c r="C20" s="253" t="s">
        <v>985</v>
      </c>
      <c r="D20" s="9">
        <v>10100601</v>
      </c>
      <c r="E20" t="s">
        <v>986</v>
      </c>
      <c r="F20" s="9" t="s">
        <v>38</v>
      </c>
      <c r="G20" s="9" t="s">
        <v>103</v>
      </c>
      <c r="H20" t="s">
        <v>109</v>
      </c>
      <c r="I20">
        <v>1.303</v>
      </c>
      <c r="J20" t="s">
        <v>688</v>
      </c>
      <c r="K20" s="221" t="s">
        <v>103</v>
      </c>
      <c r="L20" t="s">
        <v>103</v>
      </c>
      <c r="M20" s="221">
        <v>940</v>
      </c>
      <c r="N20" t="s">
        <v>60</v>
      </c>
      <c r="O20" s="9">
        <v>0.6</v>
      </c>
      <c r="P20" s="9">
        <v>0</v>
      </c>
      <c r="Q20" s="9" t="s">
        <v>103</v>
      </c>
      <c r="R20" s="9" t="s">
        <v>103</v>
      </c>
      <c r="S20" s="9" t="s">
        <v>103</v>
      </c>
      <c r="T20" s="9" t="s">
        <v>103</v>
      </c>
      <c r="U20" s="9" t="s">
        <v>103</v>
      </c>
      <c r="V20" s="9" t="s">
        <v>103</v>
      </c>
      <c r="W20" s="335">
        <f t="shared" si="0"/>
        <v>0.00039089999999999996</v>
      </c>
      <c r="X20" s="9">
        <v>0</v>
      </c>
      <c r="Y20" s="9">
        <v>8</v>
      </c>
      <c r="Z20">
        <v>0.6</v>
      </c>
      <c r="AA20" t="s">
        <v>712</v>
      </c>
      <c r="AB20" t="s">
        <v>103</v>
      </c>
    </row>
    <row r="21" spans="1:28" ht="12.75">
      <c r="A21" s="9">
        <v>3</v>
      </c>
      <c r="B21">
        <v>22499</v>
      </c>
      <c r="C21" s="253" t="s">
        <v>987</v>
      </c>
      <c r="D21" s="9">
        <v>10200204</v>
      </c>
      <c r="E21" t="s">
        <v>988</v>
      </c>
      <c r="F21" s="9" t="s">
        <v>38</v>
      </c>
      <c r="G21" s="9" t="s">
        <v>103</v>
      </c>
      <c r="H21" t="s">
        <v>360</v>
      </c>
      <c r="I21">
        <v>0.16</v>
      </c>
      <c r="J21" t="s">
        <v>910</v>
      </c>
      <c r="K21" s="221" t="s">
        <v>103</v>
      </c>
      <c r="L21" t="s">
        <v>103</v>
      </c>
      <c r="M21" s="221">
        <v>24.6</v>
      </c>
      <c r="N21" t="s">
        <v>106</v>
      </c>
      <c r="O21" s="9">
        <v>0.4</v>
      </c>
      <c r="P21" s="9">
        <v>0.65</v>
      </c>
      <c r="Q21" s="9" t="s">
        <v>103</v>
      </c>
      <c r="R21" s="9" t="s">
        <v>103</v>
      </c>
      <c r="S21" s="9" t="s">
        <v>103</v>
      </c>
      <c r="T21" s="9" t="s">
        <v>103</v>
      </c>
      <c r="U21" s="9" t="s">
        <v>103</v>
      </c>
      <c r="V21" s="9" t="s">
        <v>103</v>
      </c>
      <c r="W21" s="335">
        <f t="shared" si="0"/>
        <v>0.000304</v>
      </c>
      <c r="X21" s="9">
        <v>0</v>
      </c>
      <c r="Y21" s="9">
        <v>8</v>
      </c>
      <c r="Z21">
        <v>3.8</v>
      </c>
      <c r="AA21" t="s">
        <v>977</v>
      </c>
      <c r="AB21" t="s">
        <v>103</v>
      </c>
    </row>
    <row r="22" spans="1:28" ht="12.75">
      <c r="A22" s="9">
        <v>3</v>
      </c>
      <c r="B22">
        <v>22500</v>
      </c>
      <c r="C22" s="253">
        <v>163</v>
      </c>
      <c r="D22" s="9">
        <v>50100505</v>
      </c>
      <c r="E22" t="s">
        <v>989</v>
      </c>
      <c r="F22" s="9" t="s">
        <v>38</v>
      </c>
      <c r="G22" s="9" t="s">
        <v>103</v>
      </c>
      <c r="H22" t="s">
        <v>990</v>
      </c>
      <c r="I22">
        <v>5</v>
      </c>
      <c r="J22" t="s">
        <v>910</v>
      </c>
      <c r="K22" s="221" t="s">
        <v>103</v>
      </c>
      <c r="L22" t="s">
        <v>103</v>
      </c>
      <c r="M22" s="221" t="s">
        <v>103</v>
      </c>
      <c r="N22" t="s">
        <v>103</v>
      </c>
      <c r="O22" s="9">
        <v>0</v>
      </c>
      <c r="P22" s="9">
        <v>0</v>
      </c>
      <c r="Q22" s="9" t="s">
        <v>103</v>
      </c>
      <c r="R22" s="9" t="s">
        <v>103</v>
      </c>
      <c r="S22" s="9" t="s">
        <v>103</v>
      </c>
      <c r="T22" s="9" t="s">
        <v>103</v>
      </c>
      <c r="U22" s="9" t="s">
        <v>103</v>
      </c>
      <c r="V22" s="9" t="s">
        <v>103</v>
      </c>
      <c r="W22" s="335">
        <f>I22*2000*Z22/2000</f>
        <v>0.0016</v>
      </c>
      <c r="X22" s="9">
        <v>0</v>
      </c>
      <c r="Y22" s="9">
        <v>3</v>
      </c>
      <c r="Z22">
        <v>0.00032</v>
      </c>
      <c r="AA22" t="s">
        <v>977</v>
      </c>
      <c r="AB22" t="s">
        <v>103</v>
      </c>
    </row>
    <row r="23" spans="1:28" ht="12.75">
      <c r="A23" s="9">
        <v>12</v>
      </c>
      <c r="B23">
        <v>168951</v>
      </c>
      <c r="C23" s="253" t="s">
        <v>991</v>
      </c>
      <c r="D23" s="9">
        <v>28888801</v>
      </c>
      <c r="E23" t="s">
        <v>992</v>
      </c>
      <c r="F23" s="9" t="s">
        <v>38</v>
      </c>
      <c r="G23" s="9" t="s">
        <v>103</v>
      </c>
      <c r="H23" t="s">
        <v>218</v>
      </c>
      <c r="I23">
        <v>1200</v>
      </c>
      <c r="J23" t="s">
        <v>993</v>
      </c>
      <c r="K23" s="221" t="s">
        <v>103</v>
      </c>
      <c r="L23" t="s">
        <v>103</v>
      </c>
      <c r="M23" s="221" t="s">
        <v>103</v>
      </c>
      <c r="N23" t="s">
        <v>103</v>
      </c>
      <c r="O23" s="9" t="s">
        <v>103</v>
      </c>
      <c r="P23" s="9" t="s">
        <v>103</v>
      </c>
      <c r="Q23" s="9" t="s">
        <v>103</v>
      </c>
      <c r="R23" s="9" t="s">
        <v>103</v>
      </c>
      <c r="S23" s="9" t="s">
        <v>103</v>
      </c>
      <c r="T23" s="9" t="s">
        <v>103</v>
      </c>
      <c r="U23" s="9" t="s">
        <v>103</v>
      </c>
      <c r="V23" s="9" t="s">
        <v>103</v>
      </c>
      <c r="W23" s="335">
        <f>I23*Z23/2000</f>
        <v>0.0858</v>
      </c>
      <c r="X23" s="9">
        <v>0</v>
      </c>
      <c r="Y23" s="9">
        <v>8</v>
      </c>
      <c r="Z23">
        <v>0.143</v>
      </c>
      <c r="AA23" t="s">
        <v>49</v>
      </c>
      <c r="AB23" t="s">
        <v>103</v>
      </c>
    </row>
    <row r="24" spans="1:28" ht="12.75">
      <c r="A24" s="9">
        <v>12</v>
      </c>
      <c r="B24">
        <v>168952</v>
      </c>
      <c r="C24" s="253" t="s">
        <v>994</v>
      </c>
      <c r="D24" s="9">
        <v>28888801</v>
      </c>
      <c r="E24" t="s">
        <v>995</v>
      </c>
      <c r="F24" s="9" t="s">
        <v>38</v>
      </c>
      <c r="G24" s="9" t="s">
        <v>103</v>
      </c>
      <c r="H24" t="s">
        <v>218</v>
      </c>
      <c r="I24">
        <v>687</v>
      </c>
      <c r="J24" t="s">
        <v>993</v>
      </c>
      <c r="K24" s="221" t="s">
        <v>103</v>
      </c>
      <c r="L24" t="s">
        <v>103</v>
      </c>
      <c r="M24" s="221" t="s">
        <v>103</v>
      </c>
      <c r="N24" t="s">
        <v>103</v>
      </c>
      <c r="O24" s="9" t="s">
        <v>103</v>
      </c>
      <c r="P24" s="9" t="s">
        <v>103</v>
      </c>
      <c r="Q24" s="9" t="s">
        <v>103</v>
      </c>
      <c r="R24" s="9" t="s">
        <v>103</v>
      </c>
      <c r="S24" s="9" t="s">
        <v>103</v>
      </c>
      <c r="T24" s="9" t="s">
        <v>103</v>
      </c>
      <c r="U24" s="9" t="s">
        <v>103</v>
      </c>
      <c r="V24" s="9" t="s">
        <v>103</v>
      </c>
      <c r="W24" s="335">
        <f>I24*Z24/2000</f>
        <v>0.06251699999999999</v>
      </c>
      <c r="X24" s="9">
        <v>0</v>
      </c>
      <c r="Y24" s="9">
        <v>8</v>
      </c>
      <c r="Z24">
        <v>0.182</v>
      </c>
      <c r="AA24" t="s">
        <v>49</v>
      </c>
      <c r="AB24" t="s">
        <v>103</v>
      </c>
    </row>
    <row r="25" spans="1:28" ht="12.75">
      <c r="A25" s="9">
        <v>12</v>
      </c>
      <c r="B25">
        <v>168953</v>
      </c>
      <c r="C25" s="253" t="s">
        <v>996</v>
      </c>
      <c r="D25" s="9">
        <v>28888801</v>
      </c>
      <c r="E25" t="s">
        <v>997</v>
      </c>
      <c r="F25" s="9" t="s">
        <v>38</v>
      </c>
      <c r="G25" s="9" t="s">
        <v>103</v>
      </c>
      <c r="H25" t="s">
        <v>218</v>
      </c>
      <c r="I25">
        <v>2364</v>
      </c>
      <c r="J25" t="s">
        <v>993</v>
      </c>
      <c r="K25" s="221" t="s">
        <v>103</v>
      </c>
      <c r="L25" t="s">
        <v>103</v>
      </c>
      <c r="M25" s="221" t="s">
        <v>103</v>
      </c>
      <c r="N25" t="s">
        <v>103</v>
      </c>
      <c r="O25" s="9" t="s">
        <v>103</v>
      </c>
      <c r="P25" s="9" t="s">
        <v>103</v>
      </c>
      <c r="Q25" s="9" t="s">
        <v>103</v>
      </c>
      <c r="R25" s="9" t="s">
        <v>103</v>
      </c>
      <c r="S25" s="9" t="s">
        <v>103</v>
      </c>
      <c r="T25" s="9" t="s">
        <v>103</v>
      </c>
      <c r="U25" s="9" t="s">
        <v>103</v>
      </c>
      <c r="V25" s="9" t="s">
        <v>103</v>
      </c>
      <c r="W25" s="335">
        <f>I25*Z25/2000</f>
        <v>0.10638</v>
      </c>
      <c r="X25" s="9">
        <v>0</v>
      </c>
      <c r="Y25" s="9">
        <v>8</v>
      </c>
      <c r="Z25">
        <v>0.09</v>
      </c>
      <c r="AA25" t="s">
        <v>49</v>
      </c>
      <c r="AB25" t="s">
        <v>103</v>
      </c>
    </row>
    <row r="26" spans="1:28" ht="12.75">
      <c r="A26" s="9">
        <v>12</v>
      </c>
      <c r="B26">
        <v>168955</v>
      </c>
      <c r="C26" s="253" t="s">
        <v>998</v>
      </c>
      <c r="D26" s="9">
        <v>28888801</v>
      </c>
      <c r="E26" t="s">
        <v>999</v>
      </c>
      <c r="F26" s="9" t="s">
        <v>38</v>
      </c>
      <c r="G26" s="9" t="s">
        <v>103</v>
      </c>
      <c r="H26" t="s">
        <v>273</v>
      </c>
      <c r="I26">
        <v>1980</v>
      </c>
      <c r="J26" t="s">
        <v>993</v>
      </c>
      <c r="K26" s="221" t="s">
        <v>103</v>
      </c>
      <c r="L26" t="s">
        <v>103</v>
      </c>
      <c r="M26" s="221" t="s">
        <v>103</v>
      </c>
      <c r="N26" t="s">
        <v>103</v>
      </c>
      <c r="O26" s="9" t="s">
        <v>103</v>
      </c>
      <c r="P26" s="9" t="s">
        <v>103</v>
      </c>
      <c r="Q26" s="9" t="s">
        <v>103</v>
      </c>
      <c r="R26" s="9" t="s">
        <v>103</v>
      </c>
      <c r="S26" s="9" t="s">
        <v>103</v>
      </c>
      <c r="T26" s="9" t="s">
        <v>103</v>
      </c>
      <c r="U26" s="9" t="s">
        <v>103</v>
      </c>
      <c r="V26" s="9" t="s">
        <v>103</v>
      </c>
      <c r="W26" s="335">
        <f>I26*Z26/2000</f>
        <v>0.015345000000000001</v>
      </c>
      <c r="X26" s="9">
        <v>0</v>
      </c>
      <c r="Y26" s="9">
        <v>8</v>
      </c>
      <c r="Z26">
        <v>0.0155</v>
      </c>
      <c r="AA26" t="s">
        <v>49</v>
      </c>
      <c r="AB26" t="s">
        <v>103</v>
      </c>
    </row>
    <row r="27" spans="1:28" ht="12.75">
      <c r="A27" s="9" t="s">
        <v>120</v>
      </c>
      <c r="B27">
        <v>171093</v>
      </c>
      <c r="C27" s="253" t="s">
        <v>1000</v>
      </c>
      <c r="D27" s="9">
        <v>20200102</v>
      </c>
      <c r="E27" t="s">
        <v>1001</v>
      </c>
      <c r="F27" s="9" t="s">
        <v>38</v>
      </c>
      <c r="G27" s="9" t="s">
        <v>103</v>
      </c>
      <c r="H27" t="s">
        <v>218</v>
      </c>
      <c r="I27">
        <v>111204</v>
      </c>
      <c r="J27" t="s">
        <v>1002</v>
      </c>
      <c r="K27" s="221" t="s">
        <v>103</v>
      </c>
      <c r="L27" t="s">
        <v>103</v>
      </c>
      <c r="M27" s="221" t="s">
        <v>103</v>
      </c>
      <c r="N27" t="s">
        <v>103</v>
      </c>
      <c r="O27" s="9" t="s">
        <v>103</v>
      </c>
      <c r="P27" s="9">
        <v>0.5</v>
      </c>
      <c r="Q27" s="9" t="s">
        <v>103</v>
      </c>
      <c r="R27" s="9" t="s">
        <v>103</v>
      </c>
      <c r="S27" s="9" t="s">
        <v>103</v>
      </c>
      <c r="T27" s="9" t="s">
        <v>103</v>
      </c>
      <c r="U27" s="9" t="s">
        <v>103</v>
      </c>
      <c r="V27" s="9" t="s">
        <v>103</v>
      </c>
      <c r="W27" s="335">
        <f>I27*Z27/2000</f>
        <v>0.15234948</v>
      </c>
      <c r="X27" s="9">
        <v>0</v>
      </c>
      <c r="Y27" s="9">
        <v>8</v>
      </c>
      <c r="Z27">
        <v>0.00274</v>
      </c>
      <c r="AA27" t="s">
        <v>1003</v>
      </c>
      <c r="AB27" t="s">
        <v>103</v>
      </c>
    </row>
    <row r="28" spans="1:28" ht="12.75">
      <c r="A28" s="9" t="s">
        <v>120</v>
      </c>
      <c r="B28">
        <v>171094</v>
      </c>
      <c r="C28" s="253" t="s">
        <v>1004</v>
      </c>
      <c r="D28" s="9">
        <v>20200254</v>
      </c>
      <c r="E28" t="s">
        <v>1005</v>
      </c>
      <c r="F28" s="9" t="s">
        <v>38</v>
      </c>
      <c r="G28" s="9" t="s">
        <v>103</v>
      </c>
      <c r="H28" t="s">
        <v>109</v>
      </c>
      <c r="I28">
        <v>0.08</v>
      </c>
      <c r="J28" t="s">
        <v>688</v>
      </c>
      <c r="K28" s="221" t="s">
        <v>103</v>
      </c>
      <c r="L28" t="s">
        <v>103</v>
      </c>
      <c r="M28" s="221">
        <v>1000</v>
      </c>
      <c r="N28" t="s">
        <v>60</v>
      </c>
      <c r="O28" s="9" t="s">
        <v>103</v>
      </c>
      <c r="P28" s="9" t="s">
        <v>103</v>
      </c>
      <c r="Q28" s="9" t="s">
        <v>103</v>
      </c>
      <c r="R28" s="9" t="s">
        <v>103</v>
      </c>
      <c r="S28" s="9" t="s">
        <v>103</v>
      </c>
      <c r="T28" s="9" t="s">
        <v>103</v>
      </c>
      <c r="U28" s="9" t="s">
        <v>103</v>
      </c>
      <c r="V28" s="9" t="s">
        <v>103</v>
      </c>
      <c r="W28" s="335">
        <f>I28*M28*Z28/2000</f>
        <v>2.352E-05</v>
      </c>
      <c r="X28" s="9">
        <v>0</v>
      </c>
      <c r="Y28" s="9">
        <v>8</v>
      </c>
      <c r="Z28">
        <v>0.000588</v>
      </c>
      <c r="AA28" t="s">
        <v>751</v>
      </c>
      <c r="AB28" t="s">
        <v>103</v>
      </c>
    </row>
    <row r="29" ht="12.75">
      <c r="W29" s="221"/>
    </row>
    <row r="30" spans="22:23" ht="12.75">
      <c r="V30" t="s">
        <v>124</v>
      </c>
      <c r="W30" s="335">
        <f>SUM(W9:W28)</f>
        <v>0.9906439</v>
      </c>
    </row>
    <row r="31" ht="12.75">
      <c r="A31" s="96" t="s">
        <v>125</v>
      </c>
    </row>
    <row r="32" ht="12.75">
      <c r="A32" t="s">
        <v>126</v>
      </c>
    </row>
    <row r="33" ht="12.75">
      <c r="A33" t="s">
        <v>127</v>
      </c>
    </row>
    <row r="34" ht="12.75">
      <c r="A34" t="s">
        <v>128</v>
      </c>
    </row>
    <row r="35" ht="12.75">
      <c r="A35" t="s">
        <v>222</v>
      </c>
    </row>
    <row r="36" ht="12.75">
      <c r="A36" t="s">
        <v>1006</v>
      </c>
    </row>
    <row r="37" ht="12.75">
      <c r="A37" t="s">
        <v>1007</v>
      </c>
    </row>
    <row r="38" ht="12.75">
      <c r="A38" t="s">
        <v>1008</v>
      </c>
    </row>
    <row r="39" ht="12.75">
      <c r="A39" t="s">
        <v>1009</v>
      </c>
    </row>
  </sheetData>
  <mergeCells count="23">
    <mergeCell ref="B7:B8"/>
    <mergeCell ref="C7:C8"/>
    <mergeCell ref="D7:D8"/>
    <mergeCell ref="E7:E8"/>
    <mergeCell ref="M7:P7"/>
    <mergeCell ref="F7:F8"/>
    <mergeCell ref="G7:G8"/>
    <mergeCell ref="H7:H8"/>
    <mergeCell ref="I7:L7"/>
    <mergeCell ref="X6:X8"/>
    <mergeCell ref="Y6:Y8"/>
    <mergeCell ref="Z6:Z8"/>
    <mergeCell ref="AA6:AA8"/>
    <mergeCell ref="AB6:AB8"/>
    <mergeCell ref="Q7:Q8"/>
    <mergeCell ref="R7:R8"/>
    <mergeCell ref="S7:S8"/>
    <mergeCell ref="U7:U8"/>
    <mergeCell ref="T7:T8"/>
    <mergeCell ref="R6:S6"/>
    <mergeCell ref="T6:U6"/>
    <mergeCell ref="V6:V8"/>
    <mergeCell ref="W6:W8"/>
  </mergeCells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N35"/>
  <sheetViews>
    <sheetView workbookViewId="0" topLeftCell="A1">
      <selection activeCell="C27" sqref="C27"/>
    </sheetView>
  </sheetViews>
  <sheetFormatPr defaultColWidth="9.140625" defaultRowHeight="12.75"/>
  <cols>
    <col min="3" max="3" width="9.28125" style="0" customWidth="1"/>
    <col min="4" max="4" width="10.8515625" style="0" customWidth="1"/>
    <col min="5" max="5" width="23.140625" style="0" customWidth="1"/>
    <col min="7" max="7" width="11.140625" style="0" customWidth="1"/>
    <col min="8" max="8" width="15.00390625" style="0" customWidth="1"/>
    <col min="9" max="9" width="9.421875" style="0" customWidth="1"/>
    <col min="10" max="10" width="11.28125" style="0" customWidth="1"/>
    <col min="11" max="12" width="9.421875" style="0" customWidth="1"/>
    <col min="18" max="18" width="20.28125" style="0" customWidth="1"/>
    <col min="20" max="20" width="19.8515625" style="0" customWidth="1"/>
    <col min="21" max="21" width="10.00390625" style="0" bestFit="1" customWidth="1"/>
    <col min="22" max="22" width="10.57421875" style="0" customWidth="1"/>
    <col min="23" max="24" width="11.7109375" style="0" customWidth="1"/>
    <col min="27" max="27" width="11.8515625" style="0" customWidth="1"/>
    <col min="28" max="28" width="29.140625" style="0" customWidth="1"/>
  </cols>
  <sheetData>
    <row r="1" spans="1:5" ht="15.75">
      <c r="A1" s="59" t="s">
        <v>1030</v>
      </c>
      <c r="B1" s="59"/>
      <c r="E1" s="4" t="s">
        <v>1</v>
      </c>
    </row>
    <row r="2" spans="1:5" ht="15">
      <c r="A2" s="59"/>
      <c r="B2" s="59"/>
      <c r="E2" s="142" t="s">
        <v>95</v>
      </c>
    </row>
    <row r="3" spans="1:2" ht="12.75">
      <c r="A3" s="59" t="s">
        <v>291</v>
      </c>
      <c r="B3" s="59" t="s">
        <v>1031</v>
      </c>
    </row>
    <row r="4" spans="1:2" ht="12.75">
      <c r="A4" s="158">
        <v>10047</v>
      </c>
      <c r="B4" s="59" t="s">
        <v>1032</v>
      </c>
    </row>
    <row r="5" ht="13.5" thickBot="1"/>
    <row r="6" spans="1:66" ht="16.5" customHeight="1">
      <c r="A6" s="401" t="s">
        <v>5</v>
      </c>
      <c r="B6" s="404" t="s">
        <v>6</v>
      </c>
      <c r="C6" s="399" t="s">
        <v>7</v>
      </c>
      <c r="D6" s="399" t="s">
        <v>8</v>
      </c>
      <c r="E6" s="399" t="s">
        <v>9</v>
      </c>
      <c r="F6" s="399" t="s">
        <v>10</v>
      </c>
      <c r="G6" s="399" t="s">
        <v>11</v>
      </c>
      <c r="H6" s="399" t="s">
        <v>12</v>
      </c>
      <c r="I6" s="426" t="s">
        <v>13</v>
      </c>
      <c r="J6" s="439"/>
      <c r="K6" s="439"/>
      <c r="L6" s="440"/>
      <c r="M6" s="418" t="s">
        <v>14</v>
      </c>
      <c r="N6" s="439"/>
      <c r="O6" s="439"/>
      <c r="P6" s="439"/>
      <c r="Q6" s="399" t="s">
        <v>15</v>
      </c>
      <c r="R6" s="426" t="s">
        <v>16</v>
      </c>
      <c r="S6" s="426"/>
      <c r="T6" s="426" t="s">
        <v>17</v>
      </c>
      <c r="U6" s="426"/>
      <c r="V6" s="399" t="s">
        <v>18</v>
      </c>
      <c r="W6" s="434" t="s">
        <v>99</v>
      </c>
      <c r="X6" s="407" t="s">
        <v>100</v>
      </c>
      <c r="Y6" s="399" t="s">
        <v>21</v>
      </c>
      <c r="Z6" s="399" t="s">
        <v>22</v>
      </c>
      <c r="AA6" s="399" t="s">
        <v>23</v>
      </c>
      <c r="AB6" s="431" t="s">
        <v>24</v>
      </c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</row>
    <row r="7" spans="1:66" s="9" customFormat="1" ht="24.75" customHeight="1">
      <c r="A7" s="427"/>
      <c r="B7" s="419"/>
      <c r="C7" s="429"/>
      <c r="D7" s="429"/>
      <c r="E7" s="429"/>
      <c r="F7" s="429"/>
      <c r="G7" s="429"/>
      <c r="H7" s="429"/>
      <c r="I7" s="429"/>
      <c r="J7" s="429"/>
      <c r="K7" s="429"/>
      <c r="L7" s="441"/>
      <c r="M7" s="419"/>
      <c r="N7" s="429"/>
      <c r="O7" s="429"/>
      <c r="P7" s="429"/>
      <c r="Q7" s="424"/>
      <c r="R7" s="63" t="s">
        <v>29</v>
      </c>
      <c r="S7" s="63" t="s">
        <v>30</v>
      </c>
      <c r="T7" s="63" t="s">
        <v>101</v>
      </c>
      <c r="U7" s="63" t="s">
        <v>30</v>
      </c>
      <c r="V7" s="63"/>
      <c r="W7" s="435"/>
      <c r="X7" s="369"/>
      <c r="Y7" s="63"/>
      <c r="Z7" s="63"/>
      <c r="AA7" s="424"/>
      <c r="AB7" s="432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</row>
    <row r="8" spans="1:66" ht="25.5" customHeight="1" thickBot="1">
      <c r="A8" s="428"/>
      <c r="B8" s="420"/>
      <c r="C8" s="430"/>
      <c r="D8" s="430"/>
      <c r="E8" s="430"/>
      <c r="F8" s="430"/>
      <c r="G8" s="430"/>
      <c r="H8" s="430"/>
      <c r="I8" s="58" t="s">
        <v>32</v>
      </c>
      <c r="J8" s="58" t="s">
        <v>33</v>
      </c>
      <c r="K8" s="58" t="s">
        <v>34</v>
      </c>
      <c r="L8" s="111" t="s">
        <v>26</v>
      </c>
      <c r="M8" s="112" t="s">
        <v>25</v>
      </c>
      <c r="N8" s="58" t="s">
        <v>26</v>
      </c>
      <c r="O8" s="58" t="s">
        <v>27</v>
      </c>
      <c r="P8" s="58" t="s">
        <v>28</v>
      </c>
      <c r="Q8" s="425"/>
      <c r="R8" s="377"/>
      <c r="S8" s="377"/>
      <c r="T8" s="425"/>
      <c r="U8" s="377"/>
      <c r="V8" s="377"/>
      <c r="W8" s="436"/>
      <c r="X8" s="534"/>
      <c r="Y8" s="377"/>
      <c r="Z8" s="377"/>
      <c r="AA8" s="425"/>
      <c r="AB8" s="433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</row>
    <row r="9" spans="1:40" ht="14.25">
      <c r="A9" s="98">
        <v>3</v>
      </c>
      <c r="B9" s="101">
        <v>17233</v>
      </c>
      <c r="C9" s="101">
        <v>10</v>
      </c>
      <c r="D9" s="101">
        <v>10300601</v>
      </c>
      <c r="E9" s="101" t="s">
        <v>1010</v>
      </c>
      <c r="F9" s="101" t="s">
        <v>294</v>
      </c>
      <c r="G9" s="101" t="s">
        <v>103</v>
      </c>
      <c r="H9" s="101" t="s">
        <v>1011</v>
      </c>
      <c r="I9" s="101">
        <v>72715</v>
      </c>
      <c r="J9" s="101" t="s">
        <v>1033</v>
      </c>
      <c r="K9" s="101">
        <v>1000000</v>
      </c>
      <c r="L9" s="101" t="s">
        <v>1034</v>
      </c>
      <c r="M9" s="101">
        <v>910</v>
      </c>
      <c r="N9" s="101" t="s">
        <v>60</v>
      </c>
      <c r="O9" s="101">
        <v>0</v>
      </c>
      <c r="P9" s="101">
        <v>0</v>
      </c>
      <c r="Q9" s="101" t="s">
        <v>43</v>
      </c>
      <c r="R9" s="101" t="s">
        <v>103</v>
      </c>
      <c r="S9" s="101" t="s">
        <v>103</v>
      </c>
      <c r="T9" s="101" t="s">
        <v>103</v>
      </c>
      <c r="U9" s="101" t="s">
        <v>103</v>
      </c>
      <c r="V9" s="101" t="s">
        <v>103</v>
      </c>
      <c r="W9" s="144">
        <f>(I9/M9)*Z9/2000</f>
        <v>0.02397197802197802</v>
      </c>
      <c r="X9" s="101" t="s">
        <v>103</v>
      </c>
      <c r="Y9" s="101">
        <v>8</v>
      </c>
      <c r="Z9" s="101">
        <v>0.6</v>
      </c>
      <c r="AA9" s="101" t="s">
        <v>1035</v>
      </c>
      <c r="AB9" s="146" t="s">
        <v>1012</v>
      </c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ht="12.75">
      <c r="A10" s="83">
        <v>3</v>
      </c>
      <c r="B10" s="86">
        <v>17237</v>
      </c>
      <c r="C10" s="86">
        <v>11</v>
      </c>
      <c r="D10" s="86">
        <v>20400102</v>
      </c>
      <c r="E10" s="86" t="s">
        <v>1013</v>
      </c>
      <c r="F10" s="86" t="s">
        <v>294</v>
      </c>
      <c r="G10" s="86" t="s">
        <v>103</v>
      </c>
      <c r="H10" s="86" t="s">
        <v>1014</v>
      </c>
      <c r="I10" s="86">
        <v>35</v>
      </c>
      <c r="J10" s="86" t="s">
        <v>122</v>
      </c>
      <c r="K10" s="86">
        <v>1000000</v>
      </c>
      <c r="L10" s="86" t="s">
        <v>427</v>
      </c>
      <c r="M10" s="86">
        <v>0</v>
      </c>
      <c r="N10" s="86" t="s">
        <v>103</v>
      </c>
      <c r="O10" s="86">
        <v>0</v>
      </c>
      <c r="P10" s="86">
        <v>0</v>
      </c>
      <c r="Q10" s="86" t="s">
        <v>43</v>
      </c>
      <c r="R10" s="86" t="s">
        <v>103</v>
      </c>
      <c r="S10" s="86" t="s">
        <v>103</v>
      </c>
      <c r="T10" s="86" t="s">
        <v>103</v>
      </c>
      <c r="U10" s="86" t="s">
        <v>103</v>
      </c>
      <c r="V10" s="86" t="s">
        <v>103</v>
      </c>
      <c r="W10" s="336">
        <f>(I10*Z10)/2000</f>
        <v>1.7500000000000002E-05</v>
      </c>
      <c r="X10" s="86" t="s">
        <v>103</v>
      </c>
      <c r="Y10" s="86">
        <v>8</v>
      </c>
      <c r="Z10" s="86">
        <v>0.001</v>
      </c>
      <c r="AA10" s="86" t="s">
        <v>123</v>
      </c>
      <c r="AB10" s="149" t="s">
        <v>1015</v>
      </c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0" ht="12.75">
      <c r="A11" s="83">
        <v>3</v>
      </c>
      <c r="B11" s="86">
        <v>17238</v>
      </c>
      <c r="C11" s="86">
        <v>12</v>
      </c>
      <c r="D11" s="86">
        <v>10500214</v>
      </c>
      <c r="E11" s="86" t="s">
        <v>1016</v>
      </c>
      <c r="F11" s="86" t="s">
        <v>294</v>
      </c>
      <c r="G11" s="86" t="s">
        <v>103</v>
      </c>
      <c r="H11" s="86" t="s">
        <v>1017</v>
      </c>
      <c r="I11" s="86">
        <v>1000</v>
      </c>
      <c r="J11" s="86" t="s">
        <v>122</v>
      </c>
      <c r="K11" s="86">
        <v>7300</v>
      </c>
      <c r="L11" s="86" t="s">
        <v>427</v>
      </c>
      <c r="M11" s="86">
        <v>0</v>
      </c>
      <c r="N11" s="86" t="s">
        <v>103</v>
      </c>
      <c r="O11" s="86">
        <v>0</v>
      </c>
      <c r="P11" s="86">
        <v>0</v>
      </c>
      <c r="Q11" s="86" t="s">
        <v>43</v>
      </c>
      <c r="R11" s="86" t="s">
        <v>103</v>
      </c>
      <c r="S11" s="86" t="s">
        <v>103</v>
      </c>
      <c r="T11" s="86" t="s">
        <v>103</v>
      </c>
      <c r="U11" s="86" t="s">
        <v>103</v>
      </c>
      <c r="V11" s="86" t="s">
        <v>103</v>
      </c>
      <c r="W11" s="147">
        <f>(I11*Z11)/2000</f>
        <v>0.0785</v>
      </c>
      <c r="X11" s="86" t="s">
        <v>103</v>
      </c>
      <c r="Y11" s="86">
        <v>8</v>
      </c>
      <c r="Z11" s="86">
        <v>0.157</v>
      </c>
      <c r="AA11" s="86" t="s">
        <v>123</v>
      </c>
      <c r="AB11" s="14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0" ht="14.25">
      <c r="A12" s="83">
        <v>3</v>
      </c>
      <c r="B12" s="86">
        <v>168917</v>
      </c>
      <c r="C12" s="86">
        <v>3</v>
      </c>
      <c r="D12" s="86">
        <v>10300601</v>
      </c>
      <c r="E12" s="86" t="s">
        <v>1018</v>
      </c>
      <c r="F12" s="86" t="s">
        <v>294</v>
      </c>
      <c r="G12" s="86">
        <v>3</v>
      </c>
      <c r="H12" s="86" t="s">
        <v>104</v>
      </c>
      <c r="I12" s="86">
        <v>0</v>
      </c>
      <c r="J12" s="86" t="s">
        <v>105</v>
      </c>
      <c r="K12" s="86">
        <v>750000</v>
      </c>
      <c r="L12" s="86" t="s">
        <v>1033</v>
      </c>
      <c r="M12" s="86">
        <v>0</v>
      </c>
      <c r="N12" s="86" t="s">
        <v>103</v>
      </c>
      <c r="O12" s="86">
        <v>0.49</v>
      </c>
      <c r="P12" s="86">
        <v>6.88</v>
      </c>
      <c r="Q12" s="86" t="s">
        <v>43</v>
      </c>
      <c r="R12" s="86" t="s">
        <v>103</v>
      </c>
      <c r="S12" s="86" t="s">
        <v>103</v>
      </c>
      <c r="T12" s="86" t="s">
        <v>103</v>
      </c>
      <c r="U12" s="86" t="s">
        <v>103</v>
      </c>
      <c r="V12" s="86" t="s">
        <v>103</v>
      </c>
      <c r="W12" s="147">
        <f>(I12*Z12)/2000</f>
        <v>0</v>
      </c>
      <c r="X12" s="86" t="s">
        <v>103</v>
      </c>
      <c r="Y12" s="86">
        <v>8</v>
      </c>
      <c r="Z12" s="86">
        <v>16.72</v>
      </c>
      <c r="AA12" s="86" t="s">
        <v>107</v>
      </c>
      <c r="AB12" s="14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0" ht="14.25">
      <c r="A13" s="83">
        <v>3</v>
      </c>
      <c r="B13" s="86">
        <v>168918</v>
      </c>
      <c r="C13" s="86">
        <v>5</v>
      </c>
      <c r="D13" s="86">
        <v>10300601</v>
      </c>
      <c r="E13" s="86" t="s">
        <v>1018</v>
      </c>
      <c r="F13" s="86" t="s">
        <v>294</v>
      </c>
      <c r="G13" s="86">
        <v>3090</v>
      </c>
      <c r="H13" s="86" t="s">
        <v>104</v>
      </c>
      <c r="I13" s="86">
        <v>8143</v>
      </c>
      <c r="J13" s="86" t="s">
        <v>105</v>
      </c>
      <c r="K13" s="86">
        <v>750000</v>
      </c>
      <c r="L13" s="86" t="s">
        <v>1033</v>
      </c>
      <c r="M13" s="86">
        <v>0</v>
      </c>
      <c r="N13" s="86" t="s">
        <v>103</v>
      </c>
      <c r="O13" s="86">
        <v>0.49</v>
      </c>
      <c r="P13" s="86">
        <v>6.88</v>
      </c>
      <c r="Q13" s="86" t="s">
        <v>43</v>
      </c>
      <c r="R13" s="86" t="s">
        <v>103</v>
      </c>
      <c r="S13" s="86" t="s">
        <v>103</v>
      </c>
      <c r="T13" s="86" t="s">
        <v>103</v>
      </c>
      <c r="U13" s="86" t="s">
        <v>103</v>
      </c>
      <c r="V13" s="86">
        <v>99</v>
      </c>
      <c r="W13" s="147">
        <f>(I13*Z13)/2000</f>
        <v>68.07548</v>
      </c>
      <c r="X13" s="86" t="s">
        <v>103</v>
      </c>
      <c r="Y13" s="86">
        <v>8</v>
      </c>
      <c r="Z13" s="86">
        <v>16.72</v>
      </c>
      <c r="AA13" s="86" t="s">
        <v>107</v>
      </c>
      <c r="AB13" s="14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40" ht="14.25">
      <c r="A14" s="83">
        <v>3</v>
      </c>
      <c r="B14" s="86">
        <v>168920</v>
      </c>
      <c r="C14" s="86">
        <v>5</v>
      </c>
      <c r="D14" s="86">
        <v>10300601</v>
      </c>
      <c r="E14" s="86" t="s">
        <v>1018</v>
      </c>
      <c r="F14" s="86" t="s">
        <v>294</v>
      </c>
      <c r="G14" s="86">
        <v>5</v>
      </c>
      <c r="H14" s="86" t="s">
        <v>78</v>
      </c>
      <c r="I14" s="86">
        <v>23680</v>
      </c>
      <c r="J14" s="86" t="s">
        <v>122</v>
      </c>
      <c r="K14" s="86">
        <v>750000</v>
      </c>
      <c r="L14" s="86" t="s">
        <v>1033</v>
      </c>
      <c r="M14" s="86">
        <v>0</v>
      </c>
      <c r="N14" s="86" t="s">
        <v>103</v>
      </c>
      <c r="O14" s="86">
        <v>0.26</v>
      </c>
      <c r="P14" s="86">
        <v>0</v>
      </c>
      <c r="Q14" s="86" t="s">
        <v>43</v>
      </c>
      <c r="R14" s="86" t="s">
        <v>103</v>
      </c>
      <c r="S14" s="86" t="s">
        <v>103</v>
      </c>
      <c r="T14" s="86" t="s">
        <v>103</v>
      </c>
      <c r="U14" s="86" t="s">
        <v>103</v>
      </c>
      <c r="V14" s="86">
        <v>99</v>
      </c>
      <c r="W14" s="147">
        <f aca="true" t="shared" si="0" ref="W14:W21">((I14*Z14)/1000)/2000</f>
        <v>0.5008319999999999</v>
      </c>
      <c r="X14" s="86" t="s">
        <v>103</v>
      </c>
      <c r="Y14" s="86">
        <v>8</v>
      </c>
      <c r="Z14" s="86">
        <v>42.3</v>
      </c>
      <c r="AA14" s="86" t="s">
        <v>428</v>
      </c>
      <c r="AB14" s="14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0" ht="12.75">
      <c r="A15" s="83">
        <v>3</v>
      </c>
      <c r="B15" s="86">
        <v>17231</v>
      </c>
      <c r="C15" s="86">
        <v>8</v>
      </c>
      <c r="D15" s="86">
        <v>39990013</v>
      </c>
      <c r="E15" s="86" t="s">
        <v>121</v>
      </c>
      <c r="F15" s="86" t="s">
        <v>294</v>
      </c>
      <c r="G15" s="86" t="s">
        <v>103</v>
      </c>
      <c r="H15" s="86" t="s">
        <v>78</v>
      </c>
      <c r="I15" s="86">
        <v>7880</v>
      </c>
      <c r="J15" s="86" t="s">
        <v>122</v>
      </c>
      <c r="K15" s="86">
        <v>1500000</v>
      </c>
      <c r="L15" s="86" t="s">
        <v>427</v>
      </c>
      <c r="M15" s="86">
        <v>0</v>
      </c>
      <c r="N15" s="86" t="s">
        <v>103</v>
      </c>
      <c r="O15" s="86">
        <v>0</v>
      </c>
      <c r="P15" s="86">
        <v>0</v>
      </c>
      <c r="Q15" s="86" t="s">
        <v>43</v>
      </c>
      <c r="R15" s="86" t="s">
        <v>103</v>
      </c>
      <c r="S15" s="86" t="s">
        <v>103</v>
      </c>
      <c r="T15" s="86" t="s">
        <v>103</v>
      </c>
      <c r="U15" s="86" t="s">
        <v>103</v>
      </c>
      <c r="V15" s="86" t="s">
        <v>103</v>
      </c>
      <c r="W15" s="147">
        <f t="shared" si="0"/>
        <v>1.9699999999999998E-05</v>
      </c>
      <c r="X15" s="86" t="s">
        <v>103</v>
      </c>
      <c r="Y15" s="86">
        <v>8</v>
      </c>
      <c r="Z15" s="86">
        <v>0.005</v>
      </c>
      <c r="AA15" s="86" t="s">
        <v>428</v>
      </c>
      <c r="AB15" s="14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0" ht="12.75">
      <c r="A16" s="83">
        <v>3</v>
      </c>
      <c r="B16" s="86">
        <v>17235</v>
      </c>
      <c r="C16" s="86">
        <v>9</v>
      </c>
      <c r="D16" s="86">
        <v>39990013</v>
      </c>
      <c r="E16" s="86" t="s">
        <v>121</v>
      </c>
      <c r="F16" s="86" t="s">
        <v>294</v>
      </c>
      <c r="G16" s="86" t="s">
        <v>103</v>
      </c>
      <c r="H16" s="86" t="s">
        <v>78</v>
      </c>
      <c r="I16" s="86">
        <v>4000</v>
      </c>
      <c r="J16" s="86" t="s">
        <v>122</v>
      </c>
      <c r="K16" s="86">
        <v>500000</v>
      </c>
      <c r="L16" s="86" t="s">
        <v>427</v>
      </c>
      <c r="M16" s="86">
        <v>0</v>
      </c>
      <c r="N16" s="86" t="s">
        <v>103</v>
      </c>
      <c r="O16" s="86">
        <v>0</v>
      </c>
      <c r="P16" s="86">
        <v>0</v>
      </c>
      <c r="Q16" s="86" t="s">
        <v>43</v>
      </c>
      <c r="R16" s="86" t="s">
        <v>103</v>
      </c>
      <c r="S16" s="86" t="s">
        <v>103</v>
      </c>
      <c r="T16" s="86" t="s">
        <v>103</v>
      </c>
      <c r="U16" s="86" t="s">
        <v>103</v>
      </c>
      <c r="V16" s="86" t="s">
        <v>103</v>
      </c>
      <c r="W16" s="147">
        <f t="shared" si="0"/>
        <v>1E-05</v>
      </c>
      <c r="X16" s="86" t="s">
        <v>103</v>
      </c>
      <c r="Y16" s="86">
        <v>8</v>
      </c>
      <c r="Z16" s="86">
        <v>0.005</v>
      </c>
      <c r="AA16" s="86" t="s">
        <v>428</v>
      </c>
      <c r="AB16" s="14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0" ht="14.25">
      <c r="A17" s="83">
        <v>3</v>
      </c>
      <c r="B17" s="86">
        <v>13894</v>
      </c>
      <c r="C17" s="86">
        <v>1</v>
      </c>
      <c r="D17" s="86">
        <v>10300601</v>
      </c>
      <c r="E17" s="86" t="s">
        <v>1019</v>
      </c>
      <c r="F17" s="86" t="s">
        <v>294</v>
      </c>
      <c r="G17" s="86">
        <v>1</v>
      </c>
      <c r="H17" s="86" t="s">
        <v>1011</v>
      </c>
      <c r="I17" s="86">
        <v>97875</v>
      </c>
      <c r="J17" s="86" t="s">
        <v>1020</v>
      </c>
      <c r="K17" s="86">
        <v>220000</v>
      </c>
      <c r="L17" s="86" t="s">
        <v>1034</v>
      </c>
      <c r="M17" s="86">
        <v>0</v>
      </c>
      <c r="N17" s="86" t="s">
        <v>103</v>
      </c>
      <c r="O17" s="86">
        <v>0</v>
      </c>
      <c r="P17" s="86">
        <v>0</v>
      </c>
      <c r="Q17" s="86" t="s">
        <v>43</v>
      </c>
      <c r="R17" s="86" t="s">
        <v>103</v>
      </c>
      <c r="S17" s="86" t="s">
        <v>103</v>
      </c>
      <c r="T17" s="86" t="s">
        <v>103</v>
      </c>
      <c r="U17" s="86" t="s">
        <v>103</v>
      </c>
      <c r="V17" s="86" t="s">
        <v>103</v>
      </c>
      <c r="W17" s="147">
        <f t="shared" si="0"/>
        <v>0.0293625</v>
      </c>
      <c r="X17" s="86" t="s">
        <v>103</v>
      </c>
      <c r="Y17" s="86">
        <v>8</v>
      </c>
      <c r="Z17" s="86">
        <v>0.6</v>
      </c>
      <c r="AA17" s="86" t="s">
        <v>1035</v>
      </c>
      <c r="AB17" s="14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0" ht="14.25">
      <c r="A18" s="83">
        <v>3</v>
      </c>
      <c r="B18" s="86">
        <v>13896</v>
      </c>
      <c r="C18" s="86">
        <v>2</v>
      </c>
      <c r="D18" s="86">
        <v>10300601</v>
      </c>
      <c r="E18" s="86" t="s">
        <v>1019</v>
      </c>
      <c r="F18" s="86" t="s">
        <v>294</v>
      </c>
      <c r="G18" s="86">
        <v>2</v>
      </c>
      <c r="H18" s="86" t="s">
        <v>1011</v>
      </c>
      <c r="I18" s="86">
        <v>97875</v>
      </c>
      <c r="J18" s="86" t="s">
        <v>1020</v>
      </c>
      <c r="K18" s="86">
        <v>220000</v>
      </c>
      <c r="L18" s="86" t="s">
        <v>1034</v>
      </c>
      <c r="M18" s="86">
        <v>0</v>
      </c>
      <c r="N18" s="86" t="s">
        <v>103</v>
      </c>
      <c r="O18" s="86">
        <v>0</v>
      </c>
      <c r="P18" s="86">
        <v>0</v>
      </c>
      <c r="Q18" s="86" t="s">
        <v>43</v>
      </c>
      <c r="R18" s="86" t="s">
        <v>103</v>
      </c>
      <c r="S18" s="86" t="s">
        <v>103</v>
      </c>
      <c r="T18" s="86" t="s">
        <v>103</v>
      </c>
      <c r="U18" s="86" t="s">
        <v>103</v>
      </c>
      <c r="V18" s="86" t="s">
        <v>103</v>
      </c>
      <c r="W18" s="147">
        <f t="shared" si="0"/>
        <v>0.0293625</v>
      </c>
      <c r="X18" s="86" t="s">
        <v>103</v>
      </c>
      <c r="Y18" s="86">
        <v>8</v>
      </c>
      <c r="Z18" s="86">
        <v>0.6</v>
      </c>
      <c r="AA18" s="86" t="s">
        <v>1035</v>
      </c>
      <c r="AB18" s="14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0" ht="14.25">
      <c r="A19" s="83">
        <v>3</v>
      </c>
      <c r="B19" s="86">
        <v>13898</v>
      </c>
      <c r="C19" s="86">
        <v>3</v>
      </c>
      <c r="D19" s="86">
        <v>10300601</v>
      </c>
      <c r="E19" s="86" t="s">
        <v>1019</v>
      </c>
      <c r="F19" s="86" t="s">
        <v>294</v>
      </c>
      <c r="G19" s="86">
        <v>3</v>
      </c>
      <c r="H19" s="86" t="s">
        <v>1011</v>
      </c>
      <c r="I19" s="86">
        <v>130500</v>
      </c>
      <c r="J19" s="86" t="s">
        <v>1020</v>
      </c>
      <c r="K19" s="86">
        <v>750000</v>
      </c>
      <c r="L19" s="86" t="s">
        <v>1034</v>
      </c>
      <c r="M19" s="86">
        <v>0</v>
      </c>
      <c r="N19" s="86" t="s">
        <v>103</v>
      </c>
      <c r="O19" s="86">
        <v>0.49</v>
      </c>
      <c r="P19" s="86">
        <v>6.88</v>
      </c>
      <c r="Q19" s="86" t="s">
        <v>43</v>
      </c>
      <c r="R19" s="86" t="s">
        <v>103</v>
      </c>
      <c r="S19" s="86" t="s">
        <v>103</v>
      </c>
      <c r="T19" s="86" t="s">
        <v>103</v>
      </c>
      <c r="U19" s="86" t="s">
        <v>103</v>
      </c>
      <c r="V19" s="86" t="s">
        <v>103</v>
      </c>
      <c r="W19" s="147">
        <f t="shared" si="0"/>
        <v>0.03915</v>
      </c>
      <c r="X19" s="86" t="s">
        <v>103</v>
      </c>
      <c r="Y19" s="86">
        <v>8</v>
      </c>
      <c r="Z19" s="86">
        <v>0.6</v>
      </c>
      <c r="AA19" s="86" t="s">
        <v>1035</v>
      </c>
      <c r="AB19" s="14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0" ht="14.25">
      <c r="A20" s="83">
        <v>3</v>
      </c>
      <c r="B20" s="86">
        <v>13908</v>
      </c>
      <c r="C20" s="86">
        <v>5</v>
      </c>
      <c r="D20" s="86">
        <v>10300601</v>
      </c>
      <c r="E20" s="86" t="s">
        <v>1019</v>
      </c>
      <c r="F20" s="86" t="s">
        <v>294</v>
      </c>
      <c r="G20" s="86">
        <v>5</v>
      </c>
      <c r="H20" s="86" t="s">
        <v>1011</v>
      </c>
      <c r="I20" s="86">
        <v>0</v>
      </c>
      <c r="J20" s="86" t="s">
        <v>1020</v>
      </c>
      <c r="K20" s="86">
        <v>750000</v>
      </c>
      <c r="L20" s="86" t="s">
        <v>1034</v>
      </c>
      <c r="M20" s="86">
        <v>0</v>
      </c>
      <c r="N20" s="86" t="s">
        <v>103</v>
      </c>
      <c r="O20" s="86">
        <v>0.49</v>
      </c>
      <c r="P20" s="86">
        <v>6.88</v>
      </c>
      <c r="Q20" s="86" t="s">
        <v>43</v>
      </c>
      <c r="R20" s="86" t="s">
        <v>103</v>
      </c>
      <c r="S20" s="86" t="s">
        <v>103</v>
      </c>
      <c r="T20" s="86" t="s">
        <v>103</v>
      </c>
      <c r="U20" s="86" t="s">
        <v>103</v>
      </c>
      <c r="V20" s="86" t="s">
        <v>103</v>
      </c>
      <c r="W20" s="147">
        <f t="shared" si="0"/>
        <v>0</v>
      </c>
      <c r="X20" s="86" t="s">
        <v>103</v>
      </c>
      <c r="Y20" s="86">
        <v>8</v>
      </c>
      <c r="Z20" s="86">
        <v>0.6</v>
      </c>
      <c r="AA20" s="86" t="s">
        <v>1035</v>
      </c>
      <c r="AB20" s="14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1:40" ht="14.25">
      <c r="A21" s="83">
        <v>3</v>
      </c>
      <c r="B21" s="86">
        <v>13910</v>
      </c>
      <c r="C21" s="86">
        <v>6</v>
      </c>
      <c r="D21" s="86">
        <v>19990013</v>
      </c>
      <c r="E21" s="86" t="s">
        <v>1021</v>
      </c>
      <c r="F21" s="86" t="s">
        <v>294</v>
      </c>
      <c r="G21" s="86">
        <v>6</v>
      </c>
      <c r="H21" s="86" t="s">
        <v>1011</v>
      </c>
      <c r="I21" s="86">
        <v>16075</v>
      </c>
      <c r="J21" s="86" t="s">
        <v>1020</v>
      </c>
      <c r="K21" s="86">
        <v>6</v>
      </c>
      <c r="L21" s="86" t="s">
        <v>1034</v>
      </c>
      <c r="M21" s="86">
        <v>0</v>
      </c>
      <c r="N21" s="86" t="s">
        <v>103</v>
      </c>
      <c r="O21" s="86">
        <v>0</v>
      </c>
      <c r="P21" s="86">
        <v>0</v>
      </c>
      <c r="Q21" s="86" t="s">
        <v>43</v>
      </c>
      <c r="R21" s="86" t="s">
        <v>1022</v>
      </c>
      <c r="S21" s="86">
        <v>21</v>
      </c>
      <c r="T21" s="86" t="s">
        <v>103</v>
      </c>
      <c r="U21" s="86" t="s">
        <v>103</v>
      </c>
      <c r="V21" s="86" t="s">
        <v>103</v>
      </c>
      <c r="W21" s="337">
        <f t="shared" si="0"/>
        <v>0.0048224999999999995</v>
      </c>
      <c r="X21" s="86" t="s">
        <v>103</v>
      </c>
      <c r="Y21" s="86">
        <v>8</v>
      </c>
      <c r="Z21" s="86">
        <v>0.6</v>
      </c>
      <c r="AA21" s="86" t="s">
        <v>1035</v>
      </c>
      <c r="AB21" s="14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1:40" ht="13.5" thickBot="1">
      <c r="A22" s="88">
        <v>3</v>
      </c>
      <c r="B22" s="91">
        <v>13910</v>
      </c>
      <c r="C22" s="91">
        <v>6</v>
      </c>
      <c r="D22" s="91">
        <v>39990013</v>
      </c>
      <c r="E22" s="91" t="s">
        <v>1023</v>
      </c>
      <c r="F22" s="91" t="s">
        <v>294</v>
      </c>
      <c r="G22" s="91">
        <v>3747</v>
      </c>
      <c r="H22" s="91" t="s">
        <v>1023</v>
      </c>
      <c r="I22" s="91">
        <v>3.158</v>
      </c>
      <c r="J22" s="91" t="s">
        <v>105</v>
      </c>
      <c r="K22" s="91"/>
      <c r="L22" s="91"/>
      <c r="M22" s="91">
        <v>0</v>
      </c>
      <c r="N22" s="91" t="s">
        <v>103</v>
      </c>
      <c r="O22" s="91">
        <v>0</v>
      </c>
      <c r="P22" s="91">
        <v>0</v>
      </c>
      <c r="Q22" s="91" t="s">
        <v>43</v>
      </c>
      <c r="R22" s="91"/>
      <c r="S22" s="91" t="s">
        <v>103</v>
      </c>
      <c r="T22" s="91" t="s">
        <v>103</v>
      </c>
      <c r="U22" s="91" t="s">
        <v>103</v>
      </c>
      <c r="V22" s="91" t="s">
        <v>103</v>
      </c>
      <c r="W22" s="152">
        <f>Z22*I22/2000</f>
        <v>0.00342643</v>
      </c>
      <c r="X22" s="91" t="s">
        <v>103</v>
      </c>
      <c r="Y22" s="91">
        <v>8</v>
      </c>
      <c r="Z22" s="91">
        <v>2.17</v>
      </c>
      <c r="AA22" s="91" t="s">
        <v>107</v>
      </c>
      <c r="AB22" s="153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0" ht="13.5" thickBot="1">
      <c r="A23" s="9"/>
      <c r="B23" s="9"/>
      <c r="C23" s="9"/>
      <c r="D23" s="9"/>
      <c r="E23" s="190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88" t="s">
        <v>830</v>
      </c>
      <c r="W23" s="189">
        <f>SUM(W9:W22)</f>
        <v>68.784955108022</v>
      </c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3:5" ht="13.5" thickTop="1">
      <c r="C24" s="59" t="s">
        <v>125</v>
      </c>
      <c r="E24" s="191"/>
    </row>
    <row r="26" ht="12.75">
      <c r="C26" t="s">
        <v>347</v>
      </c>
    </row>
    <row r="28" ht="14.25">
      <c r="C28" t="s">
        <v>1036</v>
      </c>
    </row>
    <row r="30" ht="12.75">
      <c r="C30" t="s">
        <v>1024</v>
      </c>
    </row>
    <row r="31" ht="12.75">
      <c r="D31" t="s">
        <v>1025</v>
      </c>
    </row>
    <row r="32" ht="12.75">
      <c r="D32" t="s">
        <v>1026</v>
      </c>
    </row>
    <row r="33" ht="12.75">
      <c r="D33" t="s">
        <v>1027</v>
      </c>
    </row>
    <row r="34" ht="12.75">
      <c r="D34" t="s">
        <v>1028</v>
      </c>
    </row>
    <row r="35" ht="12.75">
      <c r="D35" t="s">
        <v>1029</v>
      </c>
    </row>
  </sheetData>
  <mergeCells count="24">
    <mergeCell ref="Z6:Z8"/>
    <mergeCell ref="AA6:AA8"/>
    <mergeCell ref="AB6:AB8"/>
    <mergeCell ref="W6:W8"/>
    <mergeCell ref="I6:L7"/>
    <mergeCell ref="M6:P7"/>
    <mergeCell ref="X6:X8"/>
    <mergeCell ref="Y6:Y8"/>
    <mergeCell ref="Q6:Q8"/>
    <mergeCell ref="R6:S6"/>
    <mergeCell ref="T6:U6"/>
    <mergeCell ref="V6:V8"/>
    <mergeCell ref="R7:R8"/>
    <mergeCell ref="S7:S8"/>
    <mergeCell ref="T7:T8"/>
    <mergeCell ref="U7:U8"/>
    <mergeCell ref="A6:A8"/>
    <mergeCell ref="B6:B8"/>
    <mergeCell ref="C6:C8"/>
    <mergeCell ref="D6:D8"/>
    <mergeCell ref="E6:E8"/>
    <mergeCell ref="F6:F8"/>
    <mergeCell ref="G6:G8"/>
    <mergeCell ref="H6:H8"/>
  </mergeCells>
  <printOptions horizontalCentered="1"/>
  <pageMargins left="0" right="0" top="1.47" bottom="1.09" header="0.5" footer="0.46"/>
  <pageSetup horizontalDpi="600" verticalDpi="600" orientation="landscape" pageOrder="overThenDown" r:id="rId1"/>
  <headerFooter alignWithMargins="0">
    <oddHeader>&amp;L
Utah State University
Site:  Utah State University Heating plant
Site ID:  10047&amp;CRegional Haze
2000 Statewide SOx Sources</oddHeader>
    <oddFooter>&amp;R&amp;D
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M21"/>
  <sheetViews>
    <sheetView workbookViewId="0" topLeftCell="A1">
      <selection activeCell="C3" sqref="C3"/>
    </sheetView>
  </sheetViews>
  <sheetFormatPr defaultColWidth="9.140625" defaultRowHeight="12.75"/>
  <cols>
    <col min="3" max="3" width="19.57421875" style="0" customWidth="1"/>
    <col min="5" max="5" width="14.7109375" style="0" customWidth="1"/>
    <col min="8" max="8" width="16.28125" style="0" customWidth="1"/>
    <col min="20" max="20" width="10.7109375" style="0" customWidth="1"/>
    <col min="23" max="23" width="10.140625" style="0" customWidth="1"/>
    <col min="24" max="24" width="10.421875" style="0" customWidth="1"/>
    <col min="26" max="26" width="10.421875" style="0" customWidth="1"/>
    <col min="27" max="27" width="12.421875" style="0" customWidth="1"/>
    <col min="28" max="28" width="15.8515625" style="0" customWidth="1"/>
  </cols>
  <sheetData>
    <row r="1" spans="1:23" ht="15.75">
      <c r="A1" s="59" t="s">
        <v>229</v>
      </c>
      <c r="B1" s="59"/>
      <c r="C1" s="1" t="s">
        <v>1078</v>
      </c>
      <c r="E1" s="4" t="s">
        <v>1</v>
      </c>
      <c r="W1" s="126"/>
    </row>
    <row r="2" spans="1:23" ht="15">
      <c r="A2" s="59"/>
      <c r="B2" s="59"/>
      <c r="E2" s="5" t="s">
        <v>95</v>
      </c>
      <c r="W2" s="126"/>
    </row>
    <row r="3" spans="1:23" ht="12.75">
      <c r="A3" s="59" t="s">
        <v>2</v>
      </c>
      <c r="B3" s="59" t="s">
        <v>3</v>
      </c>
      <c r="C3" s="1" t="s">
        <v>1079</v>
      </c>
      <c r="W3" s="126"/>
    </row>
    <row r="4" spans="1:23" ht="12.75">
      <c r="A4" s="6">
        <v>10676</v>
      </c>
      <c r="B4" s="59"/>
      <c r="W4" s="126"/>
    </row>
    <row r="5" ht="13.5" thickBot="1">
      <c r="W5" s="126"/>
    </row>
    <row r="6" spans="1:65" ht="16.5" customHeight="1">
      <c r="A6" s="418" t="s">
        <v>5</v>
      </c>
      <c r="B6" s="399" t="s">
        <v>6</v>
      </c>
      <c r="C6" s="399" t="s">
        <v>7</v>
      </c>
      <c r="D6" s="399" t="s">
        <v>8</v>
      </c>
      <c r="E6" s="399" t="s">
        <v>9</v>
      </c>
      <c r="F6" s="399" t="s">
        <v>10</v>
      </c>
      <c r="G6" s="399" t="s">
        <v>11</v>
      </c>
      <c r="H6" s="399" t="s">
        <v>12</v>
      </c>
      <c r="I6" s="426" t="s">
        <v>13</v>
      </c>
      <c r="J6" s="439"/>
      <c r="K6" s="439"/>
      <c r="L6" s="439"/>
      <c r="M6" s="426"/>
      <c r="N6" s="439"/>
      <c r="O6" s="439"/>
      <c r="P6" s="439"/>
      <c r="Q6" s="399" t="s">
        <v>15</v>
      </c>
      <c r="R6" s="426" t="s">
        <v>16</v>
      </c>
      <c r="S6" s="426"/>
      <c r="T6" s="426" t="s">
        <v>17</v>
      </c>
      <c r="U6" s="426"/>
      <c r="V6" s="399" t="s">
        <v>18</v>
      </c>
      <c r="W6" s="442" t="s">
        <v>99</v>
      </c>
      <c r="X6" s="399" t="s">
        <v>100</v>
      </c>
      <c r="Y6" s="399" t="s">
        <v>21</v>
      </c>
      <c r="Z6" s="399" t="s">
        <v>22</v>
      </c>
      <c r="AA6" s="399" t="s">
        <v>23</v>
      </c>
      <c r="AB6" s="431" t="s">
        <v>24</v>
      </c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</row>
    <row r="7" spans="1:65" s="9" customFormat="1" ht="24.75" customHeight="1">
      <c r="A7" s="419"/>
      <c r="B7" s="429"/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4"/>
      <c r="R7" s="63" t="s">
        <v>29</v>
      </c>
      <c r="S7" s="63" t="s">
        <v>30</v>
      </c>
      <c r="T7" s="63" t="s">
        <v>232</v>
      </c>
      <c r="U7" s="63" t="s">
        <v>30</v>
      </c>
      <c r="V7" s="63"/>
      <c r="W7" s="443"/>
      <c r="X7" s="63"/>
      <c r="Y7" s="63"/>
      <c r="Z7" s="63"/>
      <c r="AA7" s="424"/>
      <c r="AB7" s="432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</row>
    <row r="8" spans="1:65" ht="25.5" customHeight="1">
      <c r="A8" s="420"/>
      <c r="B8" s="430"/>
      <c r="C8" s="430"/>
      <c r="D8" s="430"/>
      <c r="E8" s="430"/>
      <c r="F8" s="430"/>
      <c r="G8" s="430"/>
      <c r="H8" s="430"/>
      <c r="I8" s="58" t="s">
        <v>32</v>
      </c>
      <c r="J8" s="58" t="s">
        <v>33</v>
      </c>
      <c r="K8" s="58" t="s">
        <v>34</v>
      </c>
      <c r="L8" s="58" t="s">
        <v>26</v>
      </c>
      <c r="M8" s="58" t="s">
        <v>25</v>
      </c>
      <c r="N8" s="58" t="s">
        <v>26</v>
      </c>
      <c r="O8" s="58" t="s">
        <v>27</v>
      </c>
      <c r="P8" s="58" t="s">
        <v>28</v>
      </c>
      <c r="Q8" s="425"/>
      <c r="R8" s="377"/>
      <c r="S8" s="377"/>
      <c r="T8" s="425"/>
      <c r="U8" s="377"/>
      <c r="V8" s="377"/>
      <c r="W8" s="444"/>
      <c r="X8" s="377"/>
      <c r="Y8" s="377"/>
      <c r="Z8" s="377"/>
      <c r="AA8" s="425"/>
      <c r="AB8" s="433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</row>
    <row r="9" spans="1:28" ht="12.75">
      <c r="A9" s="352" t="s">
        <v>233</v>
      </c>
      <c r="B9" s="353">
        <v>170910</v>
      </c>
      <c r="C9" s="354" t="s">
        <v>823</v>
      </c>
      <c r="D9" s="355">
        <v>20200402</v>
      </c>
      <c r="E9" s="354" t="s">
        <v>1080</v>
      </c>
      <c r="F9" s="353" t="s">
        <v>38</v>
      </c>
      <c r="G9" s="354">
        <v>0</v>
      </c>
      <c r="H9" s="353" t="s">
        <v>78</v>
      </c>
      <c r="I9" s="353">
        <v>8334</v>
      </c>
      <c r="J9" s="353" t="s">
        <v>235</v>
      </c>
      <c r="K9" s="353">
        <v>0</v>
      </c>
      <c r="L9" s="353">
        <v>0</v>
      </c>
      <c r="M9" s="353">
        <v>0</v>
      </c>
      <c r="N9" s="64"/>
      <c r="O9" s="353">
        <v>0</v>
      </c>
      <c r="P9" s="353">
        <v>0</v>
      </c>
      <c r="Q9" s="354" t="s">
        <v>43</v>
      </c>
      <c r="R9" s="64"/>
      <c r="S9" s="64"/>
      <c r="T9" s="64"/>
      <c r="U9" s="64"/>
      <c r="V9" s="64"/>
      <c r="W9" s="356">
        <f>Z9*I9/2000</f>
        <v>0.758394</v>
      </c>
      <c r="X9" s="353" t="s">
        <v>42</v>
      </c>
      <c r="Y9" s="353">
        <v>8</v>
      </c>
      <c r="Z9" s="353">
        <v>0.182</v>
      </c>
      <c r="AA9" s="353" t="s">
        <v>1081</v>
      </c>
      <c r="AB9" s="357" t="s">
        <v>42</v>
      </c>
    </row>
    <row r="10" spans="1:28" ht="12.75">
      <c r="A10" s="352" t="s">
        <v>233</v>
      </c>
      <c r="B10" s="353">
        <v>170911</v>
      </c>
      <c r="C10" s="354" t="s">
        <v>869</v>
      </c>
      <c r="D10" s="355">
        <v>30202599</v>
      </c>
      <c r="E10" s="354" t="s">
        <v>1082</v>
      </c>
      <c r="F10" s="353" t="s">
        <v>38</v>
      </c>
      <c r="G10" s="354">
        <v>0</v>
      </c>
      <c r="H10" s="353" t="s">
        <v>78</v>
      </c>
      <c r="I10" s="353">
        <v>1941</v>
      </c>
      <c r="J10" s="353" t="s">
        <v>235</v>
      </c>
      <c r="K10" s="353">
        <v>0</v>
      </c>
      <c r="L10" s="353">
        <v>0</v>
      </c>
      <c r="M10" s="353">
        <v>0</v>
      </c>
      <c r="N10" s="116"/>
      <c r="O10" s="353">
        <v>0</v>
      </c>
      <c r="P10" s="353">
        <v>0</v>
      </c>
      <c r="Q10" s="354" t="s">
        <v>43</v>
      </c>
      <c r="R10" s="116"/>
      <c r="S10" s="116"/>
      <c r="T10" s="116"/>
      <c r="U10" s="116"/>
      <c r="V10" s="116"/>
      <c r="W10" s="356">
        <f>Z10*I10/2000</f>
        <v>0.440607</v>
      </c>
      <c r="X10" s="353" t="s">
        <v>42</v>
      </c>
      <c r="Y10" s="353">
        <v>8</v>
      </c>
      <c r="Z10" s="353">
        <v>0.454</v>
      </c>
      <c r="AA10" s="353" t="s">
        <v>1081</v>
      </c>
      <c r="AB10" s="357" t="s">
        <v>42</v>
      </c>
    </row>
    <row r="11" spans="1:31" ht="12.75">
      <c r="A11" s="352" t="s">
        <v>233</v>
      </c>
      <c r="B11" s="353">
        <v>170912</v>
      </c>
      <c r="C11" s="354" t="s">
        <v>1083</v>
      </c>
      <c r="D11" s="355">
        <v>30202599</v>
      </c>
      <c r="E11" s="354" t="s">
        <v>1084</v>
      </c>
      <c r="F11" s="353" t="s">
        <v>38</v>
      </c>
      <c r="G11" s="354">
        <v>0</v>
      </c>
      <c r="H11" s="353" t="s">
        <v>78</v>
      </c>
      <c r="I11" s="353">
        <v>1641</v>
      </c>
      <c r="J11" s="353" t="s">
        <v>235</v>
      </c>
      <c r="K11" s="353">
        <v>0</v>
      </c>
      <c r="L11" s="353">
        <v>0</v>
      </c>
      <c r="M11" s="353">
        <v>0</v>
      </c>
      <c r="N11" s="116"/>
      <c r="O11" s="353">
        <v>0</v>
      </c>
      <c r="P11" s="353">
        <v>0</v>
      </c>
      <c r="Q11" s="354" t="s">
        <v>43</v>
      </c>
      <c r="R11" s="116"/>
      <c r="S11" s="116"/>
      <c r="T11" s="116"/>
      <c r="U11" s="116"/>
      <c r="V11" s="116"/>
      <c r="W11" s="356">
        <f>Z11*I11/2000</f>
        <v>0.11733149999999999</v>
      </c>
      <c r="X11" s="353" t="s">
        <v>42</v>
      </c>
      <c r="Y11" s="353">
        <v>8</v>
      </c>
      <c r="Z11" s="353">
        <v>0.143</v>
      </c>
      <c r="AA11" s="353" t="s">
        <v>1081</v>
      </c>
      <c r="AB11" s="357" t="s">
        <v>42</v>
      </c>
      <c r="AE11" s="358"/>
    </row>
    <row r="12" spans="1:28" ht="12.75">
      <c r="A12" s="352" t="s">
        <v>233</v>
      </c>
      <c r="B12" s="353">
        <v>170913</v>
      </c>
      <c r="C12" s="354" t="s">
        <v>871</v>
      </c>
      <c r="D12" s="355">
        <v>30502599</v>
      </c>
      <c r="E12" s="354" t="s">
        <v>1085</v>
      </c>
      <c r="F12" s="353" t="s">
        <v>38</v>
      </c>
      <c r="G12" s="354">
        <v>0</v>
      </c>
      <c r="H12" s="353">
        <v>0</v>
      </c>
      <c r="I12" s="353">
        <v>0</v>
      </c>
      <c r="J12" s="353" t="s">
        <v>1086</v>
      </c>
      <c r="K12" s="353">
        <v>0</v>
      </c>
      <c r="L12" s="353">
        <v>0</v>
      </c>
      <c r="M12" s="353">
        <v>0</v>
      </c>
      <c r="N12" s="116"/>
      <c r="O12" s="353">
        <v>0</v>
      </c>
      <c r="P12" s="353">
        <v>0</v>
      </c>
      <c r="Q12" s="354" t="s">
        <v>43</v>
      </c>
      <c r="R12" s="116"/>
      <c r="S12" s="116"/>
      <c r="T12" s="116"/>
      <c r="U12" s="116"/>
      <c r="V12" s="116"/>
      <c r="W12" s="356">
        <v>0.003</v>
      </c>
      <c r="X12" s="353" t="s">
        <v>42</v>
      </c>
      <c r="Y12" s="353">
        <v>6</v>
      </c>
      <c r="Z12" s="353" t="s">
        <v>42</v>
      </c>
      <c r="AA12" s="353" t="s">
        <v>42</v>
      </c>
      <c r="AB12" s="357" t="s">
        <v>1087</v>
      </c>
    </row>
    <row r="13" spans="1:28" ht="12.75">
      <c r="A13" s="352" t="s">
        <v>233</v>
      </c>
      <c r="B13" s="353">
        <v>170914</v>
      </c>
      <c r="C13" s="354" t="s">
        <v>425</v>
      </c>
      <c r="D13" s="355">
        <v>30502599</v>
      </c>
      <c r="E13" s="354" t="s">
        <v>277</v>
      </c>
      <c r="F13" s="353" t="s">
        <v>38</v>
      </c>
      <c r="G13" s="354">
        <v>0</v>
      </c>
      <c r="H13" s="353">
        <v>0</v>
      </c>
      <c r="I13" s="353">
        <v>0</v>
      </c>
      <c r="J13" s="353" t="s">
        <v>1086</v>
      </c>
      <c r="K13" s="353">
        <v>0</v>
      </c>
      <c r="L13" s="353">
        <v>0</v>
      </c>
      <c r="M13" s="353">
        <v>0</v>
      </c>
      <c r="N13" s="116"/>
      <c r="O13" s="353">
        <v>0</v>
      </c>
      <c r="P13" s="353">
        <v>0</v>
      </c>
      <c r="Q13" s="354" t="s">
        <v>43</v>
      </c>
      <c r="R13" s="116"/>
      <c r="S13" s="116"/>
      <c r="T13" s="116"/>
      <c r="U13" s="116"/>
      <c r="V13" s="116"/>
      <c r="W13" s="356">
        <v>0</v>
      </c>
      <c r="X13" s="353" t="s">
        <v>42</v>
      </c>
      <c r="Y13" s="353">
        <v>6</v>
      </c>
      <c r="Z13" s="353" t="s">
        <v>42</v>
      </c>
      <c r="AA13" s="353" t="s">
        <v>42</v>
      </c>
      <c r="AB13" s="357" t="s">
        <v>1087</v>
      </c>
    </row>
    <row r="14" spans="1:28" ht="12.75">
      <c r="A14" s="352" t="s">
        <v>35</v>
      </c>
      <c r="B14" s="353">
        <v>9317</v>
      </c>
      <c r="C14" s="354" t="s">
        <v>1088</v>
      </c>
      <c r="D14" s="355">
        <v>39000288</v>
      </c>
      <c r="E14" s="354" t="s">
        <v>1089</v>
      </c>
      <c r="F14" s="353" t="s">
        <v>38</v>
      </c>
      <c r="G14" s="354">
        <v>2950</v>
      </c>
      <c r="H14" s="353" t="s">
        <v>104</v>
      </c>
      <c r="I14" s="353">
        <v>6835.18</v>
      </c>
      <c r="J14" s="353" t="s">
        <v>1090</v>
      </c>
      <c r="K14" s="353">
        <v>25</v>
      </c>
      <c r="L14" s="353" t="s">
        <v>297</v>
      </c>
      <c r="M14" s="353">
        <v>13000</v>
      </c>
      <c r="N14" s="116" t="s">
        <v>245</v>
      </c>
      <c r="O14" s="353">
        <v>0.5</v>
      </c>
      <c r="P14" s="353">
        <v>25</v>
      </c>
      <c r="Q14" s="354" t="s">
        <v>43</v>
      </c>
      <c r="R14" s="116"/>
      <c r="S14" s="116"/>
      <c r="T14" s="116"/>
      <c r="U14" s="116"/>
      <c r="V14" s="116"/>
      <c r="W14" s="356">
        <f aca="true" t="shared" si="0" ref="W14:W19">Z14*I14/2000</f>
        <v>45.864057800000005</v>
      </c>
      <c r="X14" s="353">
        <v>0</v>
      </c>
      <c r="Y14" s="353">
        <v>8</v>
      </c>
      <c r="Z14" s="353">
        <v>13.42</v>
      </c>
      <c r="AA14" s="353" t="s">
        <v>1091</v>
      </c>
      <c r="AB14" s="357" t="s">
        <v>42</v>
      </c>
    </row>
    <row r="15" spans="1:28" ht="12.75">
      <c r="A15" s="352" t="s">
        <v>35</v>
      </c>
      <c r="B15" s="353">
        <v>9318</v>
      </c>
      <c r="C15" s="354" t="s">
        <v>1092</v>
      </c>
      <c r="D15" s="355">
        <v>39000689</v>
      </c>
      <c r="E15" s="354" t="s">
        <v>1093</v>
      </c>
      <c r="F15" s="353" t="s">
        <v>38</v>
      </c>
      <c r="G15" s="354">
        <v>2950</v>
      </c>
      <c r="H15" s="353" t="s">
        <v>109</v>
      </c>
      <c r="I15" s="353">
        <v>9.34</v>
      </c>
      <c r="J15" s="353" t="s">
        <v>296</v>
      </c>
      <c r="K15" s="353">
        <v>25</v>
      </c>
      <c r="L15" s="353" t="s">
        <v>297</v>
      </c>
      <c r="M15" s="353">
        <v>1050</v>
      </c>
      <c r="N15" s="116" t="s">
        <v>1094</v>
      </c>
      <c r="O15" s="353">
        <v>0</v>
      </c>
      <c r="P15" s="353">
        <v>25</v>
      </c>
      <c r="Q15" s="354" t="s">
        <v>43</v>
      </c>
      <c r="R15" s="116"/>
      <c r="S15" s="116"/>
      <c r="T15" s="116"/>
      <c r="U15" s="116"/>
      <c r="V15" s="116"/>
      <c r="W15" s="356">
        <f t="shared" si="0"/>
        <v>0.0028020000000000002</v>
      </c>
      <c r="X15" s="353">
        <v>0</v>
      </c>
      <c r="Y15" s="353">
        <v>8</v>
      </c>
      <c r="Z15" s="353">
        <v>0.6</v>
      </c>
      <c r="AA15" s="353" t="s">
        <v>1095</v>
      </c>
      <c r="AB15" s="357" t="s">
        <v>42</v>
      </c>
    </row>
    <row r="16" spans="1:28" ht="12.75">
      <c r="A16" s="352" t="s">
        <v>35</v>
      </c>
      <c r="B16" s="353">
        <v>9323</v>
      </c>
      <c r="C16" s="354" t="s">
        <v>1096</v>
      </c>
      <c r="D16" s="355">
        <v>39000288</v>
      </c>
      <c r="E16" s="354" t="s">
        <v>1089</v>
      </c>
      <c r="F16" s="353" t="s">
        <v>38</v>
      </c>
      <c r="G16" s="354">
        <v>2952</v>
      </c>
      <c r="H16" s="353" t="s">
        <v>104</v>
      </c>
      <c r="I16" s="353">
        <v>6228.29</v>
      </c>
      <c r="J16" s="353" t="s">
        <v>1090</v>
      </c>
      <c r="K16" s="353">
        <v>25</v>
      </c>
      <c r="L16" s="353" t="s">
        <v>297</v>
      </c>
      <c r="M16" s="353">
        <v>13000</v>
      </c>
      <c r="N16" s="116" t="s">
        <v>245</v>
      </c>
      <c r="O16" s="353">
        <v>0.5</v>
      </c>
      <c r="P16" s="353">
        <v>25</v>
      </c>
      <c r="Q16" s="354" t="s">
        <v>43</v>
      </c>
      <c r="R16" s="116"/>
      <c r="S16" s="116"/>
      <c r="T16" s="116"/>
      <c r="U16" s="116"/>
      <c r="V16" s="116"/>
      <c r="W16" s="356">
        <f t="shared" si="0"/>
        <v>41.7918259</v>
      </c>
      <c r="X16" s="353">
        <v>0</v>
      </c>
      <c r="Y16" s="353">
        <v>8</v>
      </c>
      <c r="Z16" s="353">
        <v>13.42</v>
      </c>
      <c r="AA16" s="353" t="s">
        <v>1091</v>
      </c>
      <c r="AB16" s="357" t="s">
        <v>42</v>
      </c>
    </row>
    <row r="17" spans="1:28" ht="12.75">
      <c r="A17" s="352" t="s">
        <v>35</v>
      </c>
      <c r="B17" s="353">
        <v>9324</v>
      </c>
      <c r="C17" s="354" t="s">
        <v>1097</v>
      </c>
      <c r="D17" s="355">
        <v>39000689</v>
      </c>
      <c r="E17" s="354" t="s">
        <v>1089</v>
      </c>
      <c r="F17" s="353" t="s">
        <v>38</v>
      </c>
      <c r="G17" s="354">
        <v>2952</v>
      </c>
      <c r="H17" s="353" t="s">
        <v>109</v>
      </c>
      <c r="I17" s="353">
        <v>8.51</v>
      </c>
      <c r="J17" s="353" t="s">
        <v>1098</v>
      </c>
      <c r="K17" s="353">
        <v>25</v>
      </c>
      <c r="L17" s="353" t="s">
        <v>297</v>
      </c>
      <c r="M17" s="353">
        <v>1050</v>
      </c>
      <c r="N17" s="116" t="s">
        <v>1094</v>
      </c>
      <c r="O17" s="353">
        <v>0</v>
      </c>
      <c r="P17" s="353">
        <v>25</v>
      </c>
      <c r="Q17" s="354" t="s">
        <v>43</v>
      </c>
      <c r="R17" s="116"/>
      <c r="S17" s="116"/>
      <c r="T17" s="116"/>
      <c r="U17" s="116"/>
      <c r="V17" s="116"/>
      <c r="W17" s="356">
        <f t="shared" si="0"/>
        <v>0.002553</v>
      </c>
      <c r="X17" s="353">
        <v>0</v>
      </c>
      <c r="Y17" s="353">
        <v>8</v>
      </c>
      <c r="Z17" s="353">
        <v>0.6</v>
      </c>
      <c r="AA17" s="353" t="s">
        <v>1095</v>
      </c>
      <c r="AB17" s="357" t="s">
        <v>42</v>
      </c>
    </row>
    <row r="18" spans="1:28" ht="12.75">
      <c r="A18" s="352" t="s">
        <v>35</v>
      </c>
      <c r="B18" s="353">
        <v>15843</v>
      </c>
      <c r="C18" s="354" t="s">
        <v>1099</v>
      </c>
      <c r="D18" s="355">
        <v>39000689</v>
      </c>
      <c r="E18" s="354" t="s">
        <v>1089</v>
      </c>
      <c r="F18" s="353" t="s">
        <v>38</v>
      </c>
      <c r="G18" s="354">
        <v>0</v>
      </c>
      <c r="H18" s="353" t="s">
        <v>104</v>
      </c>
      <c r="I18" s="353">
        <v>6537.98</v>
      </c>
      <c r="J18" s="353" t="s">
        <v>1090</v>
      </c>
      <c r="K18" s="353">
        <v>25</v>
      </c>
      <c r="L18" s="353" t="s">
        <v>297</v>
      </c>
      <c r="M18" s="353">
        <v>13000</v>
      </c>
      <c r="N18" s="116" t="s">
        <v>1100</v>
      </c>
      <c r="O18" s="353">
        <v>0.5</v>
      </c>
      <c r="P18" s="353">
        <v>25</v>
      </c>
      <c r="Q18" s="354" t="s">
        <v>43</v>
      </c>
      <c r="R18" s="116"/>
      <c r="S18" s="116"/>
      <c r="T18" s="116"/>
      <c r="U18" s="116"/>
      <c r="V18" s="116"/>
      <c r="W18" s="356">
        <f t="shared" si="0"/>
        <v>43.86984579999999</v>
      </c>
      <c r="X18" s="353" t="s">
        <v>42</v>
      </c>
      <c r="Y18" s="353">
        <v>8</v>
      </c>
      <c r="Z18" s="353">
        <v>13.42</v>
      </c>
      <c r="AA18" s="353" t="s">
        <v>1091</v>
      </c>
      <c r="AB18" s="357" t="s">
        <v>42</v>
      </c>
    </row>
    <row r="19" spans="1:28" ht="13.5" thickBot="1">
      <c r="A19" s="359" t="s">
        <v>35</v>
      </c>
      <c r="B19" s="360">
        <v>15844</v>
      </c>
      <c r="C19" s="361" t="s">
        <v>1101</v>
      </c>
      <c r="D19" s="362">
        <v>39000689</v>
      </c>
      <c r="E19" s="361" t="s">
        <v>1089</v>
      </c>
      <c r="F19" s="360" t="s">
        <v>38</v>
      </c>
      <c r="G19" s="361">
        <v>0</v>
      </c>
      <c r="H19" s="360" t="s">
        <v>109</v>
      </c>
      <c r="I19" s="360">
        <v>8.93</v>
      </c>
      <c r="J19" s="360" t="s">
        <v>1098</v>
      </c>
      <c r="K19" s="360">
        <v>25</v>
      </c>
      <c r="L19" s="360" t="s">
        <v>297</v>
      </c>
      <c r="M19" s="360">
        <v>1050</v>
      </c>
      <c r="N19" s="119" t="s">
        <v>1102</v>
      </c>
      <c r="O19" s="360">
        <v>0</v>
      </c>
      <c r="P19" s="360">
        <v>25</v>
      </c>
      <c r="Q19" s="361" t="s">
        <v>43</v>
      </c>
      <c r="R19" s="119"/>
      <c r="S19" s="119"/>
      <c r="T19" s="119"/>
      <c r="U19" s="119"/>
      <c r="V19" s="119"/>
      <c r="W19" s="363">
        <f t="shared" si="0"/>
        <v>0.002679</v>
      </c>
      <c r="X19" s="360">
        <v>0</v>
      </c>
      <c r="Y19" s="360">
        <v>8</v>
      </c>
      <c r="Z19" s="360">
        <v>0.6</v>
      </c>
      <c r="AA19" s="360" t="s">
        <v>1095</v>
      </c>
      <c r="AB19" s="364" t="s">
        <v>42</v>
      </c>
    </row>
    <row r="20" spans="22:23" ht="13.5" thickBot="1">
      <c r="V20" s="94" t="s">
        <v>830</v>
      </c>
      <c r="W20" s="365">
        <f>SUM(W9:W19)</f>
        <v>132.853096</v>
      </c>
    </row>
    <row r="21" ht="13.5" thickTop="1">
      <c r="C21" t="s">
        <v>1103</v>
      </c>
    </row>
  </sheetData>
  <mergeCells count="24">
    <mergeCell ref="A6:A8"/>
    <mergeCell ref="B6:B8"/>
    <mergeCell ref="C6:C8"/>
    <mergeCell ref="D6:D8"/>
    <mergeCell ref="E6:E8"/>
    <mergeCell ref="F6:F8"/>
    <mergeCell ref="G6:G8"/>
    <mergeCell ref="H6:H8"/>
    <mergeCell ref="I6:L7"/>
    <mergeCell ref="M6:P7"/>
    <mergeCell ref="Q6:Q8"/>
    <mergeCell ref="R6:S6"/>
    <mergeCell ref="R7:R8"/>
    <mergeCell ref="S7:S8"/>
    <mergeCell ref="T6:U6"/>
    <mergeCell ref="V6:V8"/>
    <mergeCell ref="W6:W8"/>
    <mergeCell ref="X6:X8"/>
    <mergeCell ref="T7:T8"/>
    <mergeCell ref="U7:U8"/>
    <mergeCell ref="Y6:Y8"/>
    <mergeCell ref="Z6:Z8"/>
    <mergeCell ref="AA6:AA8"/>
    <mergeCell ref="AB6:AB8"/>
  </mergeCells>
  <printOptions horizontalCentered="1"/>
  <pageMargins left="0.3" right="0.34" top="1.5" bottom="1" header="0.5" footer="0.5"/>
  <pageSetup horizontalDpi="600" verticalDpi="600" orientation="landscape" r:id="rId1"/>
  <headerFooter alignWithMargins="0">
    <oddHeader>&amp;L
Utelite Corporation
Site:  Shale Processing
Site ID:  10676&amp;CRegional Haze
2000 Statewide SOx Sources</oddHeader>
    <oddFooter>&amp;R&amp;D
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BM57"/>
  <sheetViews>
    <sheetView workbookViewId="0" topLeftCell="A1">
      <selection activeCell="D5" sqref="D5"/>
    </sheetView>
  </sheetViews>
  <sheetFormatPr defaultColWidth="9.140625" defaultRowHeight="12.75"/>
  <cols>
    <col min="1" max="1" width="7.28125" style="0" customWidth="1"/>
    <col min="3" max="3" width="8.421875" style="0" customWidth="1"/>
    <col min="4" max="4" width="9.7109375" style="0" customWidth="1"/>
    <col min="5" max="5" width="18.00390625" style="0" customWidth="1"/>
    <col min="6" max="6" width="6.00390625" style="0" customWidth="1"/>
    <col min="7" max="7" width="10.421875" style="0" customWidth="1"/>
    <col min="8" max="8" width="11.57421875" style="0" customWidth="1"/>
    <col min="9" max="9" width="10.8515625" style="0" customWidth="1"/>
    <col min="10" max="10" width="9.28125" style="0" customWidth="1"/>
    <col min="11" max="11" width="8.140625" style="0" customWidth="1"/>
    <col min="13" max="13" width="10.28125" style="0" customWidth="1"/>
    <col min="14" max="14" width="6.57421875" style="0" customWidth="1"/>
    <col min="15" max="15" width="6.28125" style="0" customWidth="1"/>
    <col min="16" max="16" width="6.00390625" style="0" customWidth="1"/>
    <col min="17" max="17" width="9.8515625" style="0" customWidth="1"/>
    <col min="18" max="18" width="8.57421875" style="0" customWidth="1"/>
    <col min="19" max="19" width="11.00390625" style="0" customWidth="1"/>
    <col min="20" max="20" width="13.00390625" style="0" customWidth="1"/>
    <col min="21" max="21" width="13.140625" style="0" customWidth="1"/>
    <col min="22" max="23" width="9.8515625" style="0" customWidth="1"/>
    <col min="24" max="24" width="12.8515625" style="0" customWidth="1"/>
    <col min="25" max="25" width="8.421875" style="0" customWidth="1"/>
    <col min="26" max="26" width="10.00390625" style="0" customWidth="1"/>
    <col min="27" max="27" width="9.00390625" style="0" customWidth="1"/>
    <col min="28" max="28" width="13.421875" style="0" customWidth="1"/>
  </cols>
  <sheetData>
    <row r="1" spans="1:23" ht="15.75">
      <c r="A1" s="59" t="s">
        <v>229</v>
      </c>
      <c r="B1" s="59"/>
      <c r="C1" s="338" t="s">
        <v>1037</v>
      </c>
      <c r="E1" s="4" t="s">
        <v>1</v>
      </c>
      <c r="W1" s="126"/>
    </row>
    <row r="2" spans="1:23" ht="15">
      <c r="A2" s="59"/>
      <c r="B2" s="59"/>
      <c r="E2" s="5" t="s">
        <v>95</v>
      </c>
      <c r="W2" s="126"/>
    </row>
    <row r="3" spans="1:23" ht="12.75">
      <c r="A3" s="59" t="s">
        <v>2</v>
      </c>
      <c r="B3" s="59" t="s">
        <v>3</v>
      </c>
      <c r="C3" s="338" t="s">
        <v>1038</v>
      </c>
      <c r="W3" s="126"/>
    </row>
    <row r="4" spans="1:23" ht="12.75">
      <c r="A4" s="339">
        <v>12096</v>
      </c>
      <c r="B4" s="59"/>
      <c r="W4" s="126"/>
    </row>
    <row r="5" ht="13.5" thickBot="1">
      <c r="W5" s="126"/>
    </row>
    <row r="6" spans="1:65" ht="16.5" customHeight="1">
      <c r="A6" s="418" t="s">
        <v>5</v>
      </c>
      <c r="B6" s="399" t="s">
        <v>6</v>
      </c>
      <c r="C6" s="399" t="s">
        <v>7</v>
      </c>
      <c r="D6" s="399" t="s">
        <v>8</v>
      </c>
      <c r="E6" s="399" t="s">
        <v>9</v>
      </c>
      <c r="F6" s="399" t="s">
        <v>10</v>
      </c>
      <c r="G6" s="399" t="s">
        <v>11</v>
      </c>
      <c r="H6" s="399" t="s">
        <v>12</v>
      </c>
      <c r="I6" s="426" t="s">
        <v>13</v>
      </c>
      <c r="J6" s="439"/>
      <c r="K6" s="439"/>
      <c r="L6" s="439"/>
      <c r="M6" s="426" t="s">
        <v>14</v>
      </c>
      <c r="N6" s="439"/>
      <c r="O6" s="439"/>
      <c r="P6" s="439"/>
      <c r="Q6" s="399" t="s">
        <v>15</v>
      </c>
      <c r="R6" s="426" t="s">
        <v>16</v>
      </c>
      <c r="S6" s="426"/>
      <c r="T6" s="426" t="s">
        <v>17</v>
      </c>
      <c r="U6" s="426"/>
      <c r="V6" s="399" t="s">
        <v>18</v>
      </c>
      <c r="W6" s="442" t="s">
        <v>99</v>
      </c>
      <c r="X6" s="399" t="s">
        <v>100</v>
      </c>
      <c r="Y6" s="399" t="s">
        <v>21</v>
      </c>
      <c r="Z6" s="399" t="s">
        <v>22</v>
      </c>
      <c r="AA6" s="399" t="s">
        <v>23</v>
      </c>
      <c r="AB6" s="431" t="s">
        <v>24</v>
      </c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</row>
    <row r="7" spans="1:65" s="9" customFormat="1" ht="24.75" customHeight="1">
      <c r="A7" s="419"/>
      <c r="B7" s="429"/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4"/>
      <c r="R7" s="63" t="s">
        <v>29</v>
      </c>
      <c r="S7" s="63" t="s">
        <v>30</v>
      </c>
      <c r="T7" s="63" t="s">
        <v>232</v>
      </c>
      <c r="U7" s="63" t="s">
        <v>30</v>
      </c>
      <c r="V7" s="63"/>
      <c r="W7" s="443"/>
      <c r="X7" s="63"/>
      <c r="Y7" s="63"/>
      <c r="Z7" s="63"/>
      <c r="AA7" s="424"/>
      <c r="AB7" s="432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</row>
    <row r="8" spans="1:65" ht="25.5" customHeight="1" thickBot="1">
      <c r="A8" s="422"/>
      <c r="B8" s="524"/>
      <c r="C8" s="524"/>
      <c r="D8" s="524"/>
      <c r="E8" s="524"/>
      <c r="F8" s="524"/>
      <c r="G8" s="524"/>
      <c r="H8" s="524"/>
      <c r="I8" s="270" t="s">
        <v>32</v>
      </c>
      <c r="J8" s="270" t="s">
        <v>33</v>
      </c>
      <c r="K8" s="270" t="s">
        <v>34</v>
      </c>
      <c r="L8" s="270" t="s">
        <v>26</v>
      </c>
      <c r="M8" s="270" t="s">
        <v>25</v>
      </c>
      <c r="N8" s="270" t="s">
        <v>26</v>
      </c>
      <c r="O8" s="270" t="s">
        <v>27</v>
      </c>
      <c r="P8" s="270" t="s">
        <v>28</v>
      </c>
      <c r="Q8" s="523"/>
      <c r="R8" s="521"/>
      <c r="S8" s="521"/>
      <c r="T8" s="523"/>
      <c r="U8" s="521"/>
      <c r="V8" s="521"/>
      <c r="W8" s="535"/>
      <c r="X8" s="521"/>
      <c r="Y8" s="521"/>
      <c r="Z8" s="521"/>
      <c r="AA8" s="523"/>
      <c r="AB8" s="516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</row>
    <row r="9" spans="1:28" ht="12.75">
      <c r="A9" s="340" t="s">
        <v>233</v>
      </c>
      <c r="B9" s="341">
        <v>18811</v>
      </c>
      <c r="C9" s="342" t="s">
        <v>42</v>
      </c>
      <c r="D9" s="341">
        <v>20400402</v>
      </c>
      <c r="E9" s="342" t="s">
        <v>1039</v>
      </c>
      <c r="F9" s="341" t="s">
        <v>38</v>
      </c>
      <c r="G9" s="341">
        <v>0</v>
      </c>
      <c r="H9" s="342" t="s">
        <v>218</v>
      </c>
      <c r="I9" s="341">
        <v>0</v>
      </c>
      <c r="J9" s="341" t="s">
        <v>235</v>
      </c>
      <c r="K9" s="341"/>
      <c r="L9" s="341"/>
      <c r="M9" s="341">
        <v>0</v>
      </c>
      <c r="N9" s="341">
        <v>0</v>
      </c>
      <c r="O9" s="341">
        <v>0</v>
      </c>
      <c r="P9" s="341">
        <v>0</v>
      </c>
      <c r="Q9" s="341" t="s">
        <v>1040</v>
      </c>
      <c r="R9" s="341">
        <v>0</v>
      </c>
      <c r="S9" s="341">
        <v>0</v>
      </c>
      <c r="T9" s="341"/>
      <c r="U9" s="342"/>
      <c r="V9" s="235"/>
      <c r="W9" s="343">
        <f>Z9*I9/2000</f>
        <v>0</v>
      </c>
      <c r="X9" s="235"/>
      <c r="Y9" s="235">
        <v>3</v>
      </c>
      <c r="Z9" s="235">
        <v>0.137</v>
      </c>
      <c r="AA9" s="235" t="s">
        <v>49</v>
      </c>
      <c r="AB9" s="246"/>
    </row>
    <row r="10" spans="1:28" ht="12.75">
      <c r="A10" s="344" t="s">
        <v>120</v>
      </c>
      <c r="B10" s="345">
        <v>19164</v>
      </c>
      <c r="C10" s="346" t="s">
        <v>42</v>
      </c>
      <c r="D10" s="345">
        <v>20100102</v>
      </c>
      <c r="E10" s="346" t="s">
        <v>1041</v>
      </c>
      <c r="F10" s="345" t="s">
        <v>38</v>
      </c>
      <c r="G10" s="345">
        <v>0</v>
      </c>
      <c r="H10" s="346" t="s">
        <v>218</v>
      </c>
      <c r="I10" s="345">
        <v>0</v>
      </c>
      <c r="J10" s="345" t="s">
        <v>235</v>
      </c>
      <c r="K10" s="345">
        <v>33.5</v>
      </c>
      <c r="L10" s="345" t="s">
        <v>249</v>
      </c>
      <c r="M10" s="345">
        <v>0</v>
      </c>
      <c r="N10" s="345">
        <v>0</v>
      </c>
      <c r="O10" s="345">
        <v>0</v>
      </c>
      <c r="P10" s="345">
        <v>0</v>
      </c>
      <c r="Q10" s="345" t="s">
        <v>1040</v>
      </c>
      <c r="R10" s="345">
        <v>0</v>
      </c>
      <c r="S10" s="345">
        <v>0</v>
      </c>
      <c r="T10" s="345"/>
      <c r="U10" s="346"/>
      <c r="V10" s="116"/>
      <c r="W10" s="135">
        <f>Z10*K10*I10/2000</f>
        <v>0</v>
      </c>
      <c r="X10" s="116"/>
      <c r="Y10" s="116">
        <v>3</v>
      </c>
      <c r="Z10" s="116">
        <v>0.0021</v>
      </c>
      <c r="AA10" s="116" t="s">
        <v>1042</v>
      </c>
      <c r="AB10" s="118"/>
    </row>
    <row r="11" spans="1:28" ht="12.75">
      <c r="A11" s="344" t="s">
        <v>120</v>
      </c>
      <c r="B11" s="345">
        <v>19165</v>
      </c>
      <c r="C11" s="346" t="s">
        <v>42</v>
      </c>
      <c r="D11" s="345">
        <v>20200102</v>
      </c>
      <c r="E11" s="346" t="s">
        <v>1043</v>
      </c>
      <c r="F11" s="345" t="s">
        <v>38</v>
      </c>
      <c r="G11" s="345">
        <v>0</v>
      </c>
      <c r="H11" s="346" t="s">
        <v>218</v>
      </c>
      <c r="I11" s="345">
        <v>0</v>
      </c>
      <c r="J11" s="345" t="s">
        <v>235</v>
      </c>
      <c r="K11" s="345">
        <v>10.5</v>
      </c>
      <c r="L11" s="345" t="s">
        <v>249</v>
      </c>
      <c r="M11" s="345">
        <v>0</v>
      </c>
      <c r="N11" s="345">
        <v>0</v>
      </c>
      <c r="O11" s="345">
        <v>0</v>
      </c>
      <c r="P11" s="345">
        <v>0</v>
      </c>
      <c r="Q11" s="345" t="s">
        <v>1040</v>
      </c>
      <c r="R11" s="345">
        <v>0</v>
      </c>
      <c r="S11" s="345">
        <v>0</v>
      </c>
      <c r="T11" s="345"/>
      <c r="U11" s="346"/>
      <c r="V11" s="116"/>
      <c r="W11" s="135">
        <f>Z11*K11*I11/2000</f>
        <v>0</v>
      </c>
      <c r="X11" s="116"/>
      <c r="Y11" s="116">
        <v>3</v>
      </c>
      <c r="Z11" s="116">
        <v>0.0021</v>
      </c>
      <c r="AA11" s="116" t="s">
        <v>1042</v>
      </c>
      <c r="AB11" s="118"/>
    </row>
    <row r="12" spans="1:28" ht="12.75">
      <c r="A12" s="344" t="s">
        <v>120</v>
      </c>
      <c r="B12" s="345">
        <v>19166</v>
      </c>
      <c r="C12" s="346" t="s">
        <v>42</v>
      </c>
      <c r="D12" s="345">
        <v>20200102</v>
      </c>
      <c r="E12" s="346" t="s">
        <v>1044</v>
      </c>
      <c r="F12" s="345" t="s">
        <v>38</v>
      </c>
      <c r="G12" s="345">
        <v>0</v>
      </c>
      <c r="H12" s="346" t="s">
        <v>218</v>
      </c>
      <c r="I12" s="345">
        <v>0</v>
      </c>
      <c r="J12" s="345" t="s">
        <v>235</v>
      </c>
      <c r="K12" s="345">
        <v>120</v>
      </c>
      <c r="L12" s="345" t="s">
        <v>249</v>
      </c>
      <c r="M12" s="345">
        <v>0</v>
      </c>
      <c r="N12" s="345">
        <v>0</v>
      </c>
      <c r="O12" s="345">
        <v>0</v>
      </c>
      <c r="P12" s="345">
        <v>0</v>
      </c>
      <c r="Q12" s="345" t="s">
        <v>1040</v>
      </c>
      <c r="R12" s="345">
        <v>0</v>
      </c>
      <c r="S12" s="345">
        <v>0</v>
      </c>
      <c r="T12" s="345"/>
      <c r="U12" s="346"/>
      <c r="V12" s="116"/>
      <c r="W12" s="135">
        <f>Z12*K12*I12/2000</f>
        <v>0</v>
      </c>
      <c r="X12" s="116"/>
      <c r="Y12" s="116">
        <v>3</v>
      </c>
      <c r="Z12" s="116">
        <v>0.0021</v>
      </c>
      <c r="AA12" s="116" t="s">
        <v>1042</v>
      </c>
      <c r="AB12" s="118"/>
    </row>
    <row r="13" spans="1:28" ht="12.75">
      <c r="A13" s="344" t="s">
        <v>120</v>
      </c>
      <c r="B13" s="345">
        <v>19167</v>
      </c>
      <c r="C13" s="346" t="s">
        <v>42</v>
      </c>
      <c r="D13" s="345">
        <v>20200102</v>
      </c>
      <c r="E13" s="346" t="s">
        <v>1045</v>
      </c>
      <c r="F13" s="345" t="s">
        <v>38</v>
      </c>
      <c r="G13" s="345">
        <v>0</v>
      </c>
      <c r="H13" s="346" t="s">
        <v>218</v>
      </c>
      <c r="I13" s="345">
        <v>0</v>
      </c>
      <c r="J13" s="345" t="s">
        <v>235</v>
      </c>
      <c r="K13" s="345">
        <v>10.5</v>
      </c>
      <c r="L13" s="345" t="s">
        <v>249</v>
      </c>
      <c r="M13" s="345">
        <v>0</v>
      </c>
      <c r="N13" s="345">
        <v>0</v>
      </c>
      <c r="O13" s="345">
        <v>0</v>
      </c>
      <c r="P13" s="345">
        <v>0</v>
      </c>
      <c r="Q13" s="345" t="s">
        <v>1040</v>
      </c>
      <c r="R13" s="345">
        <v>0</v>
      </c>
      <c r="S13" s="345">
        <v>0</v>
      </c>
      <c r="T13" s="345"/>
      <c r="U13" s="346"/>
      <c r="V13" s="116"/>
      <c r="W13" s="135">
        <f>Z13*K13*I13/2000</f>
        <v>0</v>
      </c>
      <c r="X13" s="116"/>
      <c r="Y13" s="116">
        <v>3</v>
      </c>
      <c r="Z13" s="116">
        <v>0.0021</v>
      </c>
      <c r="AA13" s="116" t="s">
        <v>1042</v>
      </c>
      <c r="AB13" s="118"/>
    </row>
    <row r="14" spans="1:28" ht="12.75">
      <c r="A14" s="344" t="s">
        <v>233</v>
      </c>
      <c r="B14" s="345">
        <v>19277</v>
      </c>
      <c r="C14" s="346" t="s">
        <v>42</v>
      </c>
      <c r="D14" s="345">
        <v>20400402</v>
      </c>
      <c r="E14" s="346" t="s">
        <v>1046</v>
      </c>
      <c r="F14" s="345" t="s">
        <v>38</v>
      </c>
      <c r="G14" s="345">
        <v>0</v>
      </c>
      <c r="H14" s="346" t="s">
        <v>218</v>
      </c>
      <c r="I14" s="345">
        <v>50633</v>
      </c>
      <c r="J14" s="345" t="s">
        <v>235</v>
      </c>
      <c r="K14" s="345"/>
      <c r="L14" s="345" t="s">
        <v>42</v>
      </c>
      <c r="M14" s="345">
        <v>0</v>
      </c>
      <c r="N14" s="345">
        <v>0</v>
      </c>
      <c r="O14" s="345">
        <v>0</v>
      </c>
      <c r="P14" s="345">
        <v>0</v>
      </c>
      <c r="Q14" s="345" t="s">
        <v>1040</v>
      </c>
      <c r="R14" s="345">
        <v>0</v>
      </c>
      <c r="S14" s="345">
        <v>0</v>
      </c>
      <c r="T14" s="345"/>
      <c r="U14" s="346"/>
      <c r="V14" s="116"/>
      <c r="W14" s="135">
        <f>Z14*I14/2000</f>
        <v>2.2784850000000003</v>
      </c>
      <c r="X14" s="116"/>
      <c r="Y14" s="116">
        <v>3</v>
      </c>
      <c r="Z14" s="116">
        <v>0.09</v>
      </c>
      <c r="AA14" s="116" t="s">
        <v>49</v>
      </c>
      <c r="AB14" s="118"/>
    </row>
    <row r="15" spans="1:28" ht="12.75">
      <c r="A15" s="344" t="s">
        <v>233</v>
      </c>
      <c r="B15" s="345">
        <v>19278</v>
      </c>
      <c r="C15" s="346" t="s">
        <v>42</v>
      </c>
      <c r="D15" s="345">
        <v>20400402</v>
      </c>
      <c r="E15" s="346" t="s">
        <v>266</v>
      </c>
      <c r="F15" s="345" t="s">
        <v>38</v>
      </c>
      <c r="G15" s="345">
        <v>0</v>
      </c>
      <c r="H15" s="346" t="s">
        <v>218</v>
      </c>
      <c r="I15" s="345">
        <v>10003</v>
      </c>
      <c r="J15" s="345" t="s">
        <v>235</v>
      </c>
      <c r="K15" s="345"/>
      <c r="L15" s="345"/>
      <c r="M15" s="345">
        <v>0</v>
      </c>
      <c r="N15" s="345">
        <v>0</v>
      </c>
      <c r="O15" s="345">
        <v>0</v>
      </c>
      <c r="P15" s="345">
        <v>0</v>
      </c>
      <c r="Q15" s="345" t="s">
        <v>1040</v>
      </c>
      <c r="R15" s="345">
        <v>0</v>
      </c>
      <c r="S15" s="345">
        <v>0</v>
      </c>
      <c r="T15" s="345"/>
      <c r="U15" s="346"/>
      <c r="V15" s="116"/>
      <c r="W15" s="135">
        <f aca="true" t="shared" si="0" ref="W15:W27">Z15*I15/2000</f>
        <v>2.3156945</v>
      </c>
      <c r="X15" s="116"/>
      <c r="Y15" s="116">
        <v>3</v>
      </c>
      <c r="Z15" s="116">
        <v>0.463</v>
      </c>
      <c r="AA15" s="116" t="s">
        <v>49</v>
      </c>
      <c r="AB15" s="118"/>
    </row>
    <row r="16" spans="1:28" ht="12.75">
      <c r="A16" s="344" t="s">
        <v>233</v>
      </c>
      <c r="B16" s="345">
        <v>19279</v>
      </c>
      <c r="C16" s="346" t="s">
        <v>42</v>
      </c>
      <c r="D16" s="345">
        <v>20400402</v>
      </c>
      <c r="E16" s="346" t="s">
        <v>1047</v>
      </c>
      <c r="F16" s="345" t="s">
        <v>38</v>
      </c>
      <c r="G16" s="345">
        <v>0</v>
      </c>
      <c r="H16" s="346" t="s">
        <v>218</v>
      </c>
      <c r="I16" s="345">
        <v>682</v>
      </c>
      <c r="J16" s="345" t="s">
        <v>235</v>
      </c>
      <c r="K16" s="345"/>
      <c r="L16" s="345" t="s">
        <v>42</v>
      </c>
      <c r="M16" s="345">
        <v>0</v>
      </c>
      <c r="N16" s="345">
        <v>0</v>
      </c>
      <c r="O16" s="345">
        <v>0</v>
      </c>
      <c r="P16" s="345">
        <v>0</v>
      </c>
      <c r="Q16" s="345" t="s">
        <v>1040</v>
      </c>
      <c r="R16" s="345">
        <v>0</v>
      </c>
      <c r="S16" s="345">
        <v>0</v>
      </c>
      <c r="T16" s="345"/>
      <c r="U16" s="346"/>
      <c r="V16" s="116"/>
      <c r="W16" s="135">
        <f t="shared" si="0"/>
        <v>0.118668</v>
      </c>
      <c r="X16" s="116"/>
      <c r="Y16" s="116">
        <v>3</v>
      </c>
      <c r="Z16" s="116">
        <v>0.348</v>
      </c>
      <c r="AA16" s="116" t="s">
        <v>49</v>
      </c>
      <c r="AB16" s="118"/>
    </row>
    <row r="17" spans="1:28" ht="12.75">
      <c r="A17" s="344" t="s">
        <v>233</v>
      </c>
      <c r="B17" s="345">
        <v>19280</v>
      </c>
      <c r="C17" s="346" t="s">
        <v>42</v>
      </c>
      <c r="D17" s="345">
        <v>20400402</v>
      </c>
      <c r="E17" s="346" t="s">
        <v>1048</v>
      </c>
      <c r="F17" s="345" t="s">
        <v>38</v>
      </c>
      <c r="G17" s="345">
        <v>0</v>
      </c>
      <c r="H17" s="346" t="s">
        <v>218</v>
      </c>
      <c r="I17" s="345">
        <v>63999</v>
      </c>
      <c r="J17" s="345" t="s">
        <v>235</v>
      </c>
      <c r="K17" s="345"/>
      <c r="L17" s="345" t="s">
        <v>42</v>
      </c>
      <c r="M17" s="345">
        <v>0</v>
      </c>
      <c r="N17" s="345">
        <v>0</v>
      </c>
      <c r="O17" s="345">
        <v>0</v>
      </c>
      <c r="P17" s="345">
        <v>0</v>
      </c>
      <c r="Q17" s="345" t="s">
        <v>1040</v>
      </c>
      <c r="R17" s="345">
        <v>0</v>
      </c>
      <c r="S17" s="345">
        <v>0</v>
      </c>
      <c r="T17" s="345"/>
      <c r="U17" s="346"/>
      <c r="V17" s="116"/>
      <c r="W17" s="135">
        <f t="shared" si="0"/>
        <v>5.823909</v>
      </c>
      <c r="X17" s="116"/>
      <c r="Y17" s="116">
        <v>3</v>
      </c>
      <c r="Z17" s="116">
        <v>0.182</v>
      </c>
      <c r="AA17" s="116" t="s">
        <v>49</v>
      </c>
      <c r="AB17" s="118"/>
    </row>
    <row r="18" spans="1:28" ht="12.75">
      <c r="A18" s="344" t="s">
        <v>233</v>
      </c>
      <c r="B18" s="345">
        <v>19281</v>
      </c>
      <c r="C18" s="346" t="s">
        <v>42</v>
      </c>
      <c r="D18" s="345">
        <v>20400402</v>
      </c>
      <c r="E18" s="346" t="s">
        <v>1049</v>
      </c>
      <c r="F18" s="345" t="s">
        <v>38</v>
      </c>
      <c r="G18" s="345">
        <v>0</v>
      </c>
      <c r="H18" s="346" t="s">
        <v>218</v>
      </c>
      <c r="I18" s="345">
        <v>52</v>
      </c>
      <c r="J18" s="345" t="s">
        <v>235</v>
      </c>
      <c r="K18" s="345"/>
      <c r="L18" s="345" t="s">
        <v>42</v>
      </c>
      <c r="M18" s="345">
        <v>0</v>
      </c>
      <c r="N18" s="345">
        <v>0</v>
      </c>
      <c r="O18" s="345">
        <v>0</v>
      </c>
      <c r="P18" s="345">
        <v>0</v>
      </c>
      <c r="Q18" s="345" t="s">
        <v>1040</v>
      </c>
      <c r="R18" s="345">
        <v>0</v>
      </c>
      <c r="S18" s="345">
        <v>0</v>
      </c>
      <c r="T18" s="345"/>
      <c r="U18" s="346"/>
      <c r="V18" s="116"/>
      <c r="W18" s="135">
        <f t="shared" si="0"/>
        <v>0.000481</v>
      </c>
      <c r="X18" s="116"/>
      <c r="Y18" s="116">
        <v>3</v>
      </c>
      <c r="Z18" s="116">
        <v>0.0185</v>
      </c>
      <c r="AA18" s="116" t="s">
        <v>49</v>
      </c>
      <c r="AB18" s="118"/>
    </row>
    <row r="19" spans="1:28" ht="12.75">
      <c r="A19" s="344" t="s">
        <v>233</v>
      </c>
      <c r="B19" s="345">
        <v>19282</v>
      </c>
      <c r="C19" s="346" t="s">
        <v>42</v>
      </c>
      <c r="D19" s="345">
        <v>20400402</v>
      </c>
      <c r="E19" s="346" t="s">
        <v>1050</v>
      </c>
      <c r="F19" s="345" t="s">
        <v>38</v>
      </c>
      <c r="G19" s="345">
        <v>0</v>
      </c>
      <c r="H19" s="346" t="s">
        <v>218</v>
      </c>
      <c r="I19" s="345">
        <v>43016</v>
      </c>
      <c r="J19" s="345" t="s">
        <v>235</v>
      </c>
      <c r="K19" s="345"/>
      <c r="L19" s="345" t="s">
        <v>42</v>
      </c>
      <c r="M19" s="345">
        <v>0</v>
      </c>
      <c r="N19" s="345">
        <v>0</v>
      </c>
      <c r="O19" s="345">
        <v>0</v>
      </c>
      <c r="P19" s="345">
        <v>0</v>
      </c>
      <c r="Q19" s="345" t="s">
        <v>1040</v>
      </c>
      <c r="R19" s="345">
        <v>0</v>
      </c>
      <c r="S19" s="345">
        <v>0</v>
      </c>
      <c r="T19" s="345"/>
      <c r="U19" s="346"/>
      <c r="V19" s="116"/>
      <c r="W19" s="135">
        <f t="shared" si="0"/>
        <v>9.764631999999999</v>
      </c>
      <c r="X19" s="116"/>
      <c r="Y19" s="116">
        <v>3</v>
      </c>
      <c r="Z19" s="116">
        <v>0.454</v>
      </c>
      <c r="AA19" s="116" t="s">
        <v>49</v>
      </c>
      <c r="AB19" s="118"/>
    </row>
    <row r="20" spans="1:28" ht="12.75">
      <c r="A20" s="344" t="s">
        <v>233</v>
      </c>
      <c r="B20" s="345">
        <v>19283</v>
      </c>
      <c r="C20" s="346" t="s">
        <v>42</v>
      </c>
      <c r="D20" s="345">
        <v>20400402</v>
      </c>
      <c r="E20" s="346" t="s">
        <v>1051</v>
      </c>
      <c r="F20" s="345" t="s">
        <v>38</v>
      </c>
      <c r="G20" s="345">
        <v>0</v>
      </c>
      <c r="H20" s="346" t="s">
        <v>218</v>
      </c>
      <c r="I20" s="345">
        <v>10737</v>
      </c>
      <c r="J20" s="345" t="s">
        <v>235</v>
      </c>
      <c r="K20" s="345"/>
      <c r="L20" s="345" t="s">
        <v>42</v>
      </c>
      <c r="M20" s="345">
        <v>0</v>
      </c>
      <c r="N20" s="345">
        <v>0</v>
      </c>
      <c r="O20" s="345">
        <v>0</v>
      </c>
      <c r="P20" s="345">
        <v>0</v>
      </c>
      <c r="Q20" s="345" t="s">
        <v>1040</v>
      </c>
      <c r="R20" s="345">
        <v>0</v>
      </c>
      <c r="S20" s="345">
        <v>0</v>
      </c>
      <c r="T20" s="345"/>
      <c r="U20" s="346"/>
      <c r="V20" s="116"/>
      <c r="W20" s="135">
        <f t="shared" si="0"/>
        <v>0.3596895</v>
      </c>
      <c r="X20" s="116"/>
      <c r="Y20" s="116">
        <v>3</v>
      </c>
      <c r="Z20" s="116">
        <v>0.067</v>
      </c>
      <c r="AA20" s="116" t="s">
        <v>49</v>
      </c>
      <c r="AB20" s="118"/>
    </row>
    <row r="21" spans="1:28" ht="12.75">
      <c r="A21" s="344" t="s">
        <v>233</v>
      </c>
      <c r="B21" s="345">
        <v>19284</v>
      </c>
      <c r="C21" s="346" t="s">
        <v>42</v>
      </c>
      <c r="D21" s="345">
        <v>20400402</v>
      </c>
      <c r="E21" s="346" t="s">
        <v>1052</v>
      </c>
      <c r="F21" s="345" t="s">
        <v>38</v>
      </c>
      <c r="G21" s="345">
        <v>0</v>
      </c>
      <c r="H21" s="346" t="s">
        <v>218</v>
      </c>
      <c r="I21" s="345">
        <v>88498</v>
      </c>
      <c r="J21" s="345" t="s">
        <v>235</v>
      </c>
      <c r="K21" s="345"/>
      <c r="L21" s="345" t="s">
        <v>42</v>
      </c>
      <c r="M21" s="345">
        <v>0</v>
      </c>
      <c r="N21" s="345">
        <v>0</v>
      </c>
      <c r="O21" s="345">
        <v>0</v>
      </c>
      <c r="P21" s="345">
        <v>0</v>
      </c>
      <c r="Q21" s="345" t="s">
        <v>1040</v>
      </c>
      <c r="R21" s="345">
        <v>0</v>
      </c>
      <c r="S21" s="345">
        <v>0</v>
      </c>
      <c r="T21" s="345"/>
      <c r="U21" s="346"/>
      <c r="V21" s="116"/>
      <c r="W21" s="135">
        <f t="shared" si="0"/>
        <v>6.327606999999999</v>
      </c>
      <c r="X21" s="116"/>
      <c r="Y21" s="116">
        <v>3</v>
      </c>
      <c r="Z21" s="116">
        <v>0.143</v>
      </c>
      <c r="AA21" s="116" t="s">
        <v>49</v>
      </c>
      <c r="AB21" s="118"/>
    </row>
    <row r="22" spans="1:28" ht="12.75">
      <c r="A22" s="344" t="s">
        <v>233</v>
      </c>
      <c r="B22" s="345">
        <v>19285</v>
      </c>
      <c r="C22" s="346" t="s">
        <v>42</v>
      </c>
      <c r="D22" s="345">
        <v>20400402</v>
      </c>
      <c r="E22" s="346" t="s">
        <v>1039</v>
      </c>
      <c r="F22" s="345" t="s">
        <v>38</v>
      </c>
      <c r="G22" s="345">
        <v>0</v>
      </c>
      <c r="H22" s="346" t="s">
        <v>218</v>
      </c>
      <c r="I22" s="345">
        <v>895</v>
      </c>
      <c r="J22" s="345" t="s">
        <v>235</v>
      </c>
      <c r="K22" s="345"/>
      <c r="L22" s="345" t="s">
        <v>42</v>
      </c>
      <c r="M22" s="345">
        <v>0</v>
      </c>
      <c r="N22" s="345">
        <v>0</v>
      </c>
      <c r="O22" s="345">
        <v>0</v>
      </c>
      <c r="P22" s="345">
        <v>0</v>
      </c>
      <c r="Q22" s="345" t="s">
        <v>1040</v>
      </c>
      <c r="R22" s="345">
        <v>0</v>
      </c>
      <c r="S22" s="345">
        <v>0</v>
      </c>
      <c r="T22" s="345"/>
      <c r="U22" s="346"/>
      <c r="V22" s="116"/>
      <c r="W22" s="135">
        <f t="shared" si="0"/>
        <v>0.06130750000000001</v>
      </c>
      <c r="X22" s="116"/>
      <c r="Y22" s="116">
        <v>3</v>
      </c>
      <c r="Z22" s="116">
        <v>0.137</v>
      </c>
      <c r="AA22" s="116" t="s">
        <v>49</v>
      </c>
      <c r="AB22" s="118"/>
    </row>
    <row r="23" spans="1:28" ht="12.75">
      <c r="A23" s="344" t="s">
        <v>233</v>
      </c>
      <c r="B23" s="345">
        <v>19286</v>
      </c>
      <c r="C23" s="346" t="s">
        <v>42</v>
      </c>
      <c r="D23" s="345">
        <v>20400402</v>
      </c>
      <c r="E23" s="346" t="s">
        <v>119</v>
      </c>
      <c r="F23" s="345" t="s">
        <v>38</v>
      </c>
      <c r="G23" s="345">
        <v>0</v>
      </c>
      <c r="H23" s="346" t="s">
        <v>218</v>
      </c>
      <c r="I23" s="345">
        <v>0</v>
      </c>
      <c r="J23" s="345" t="s">
        <v>235</v>
      </c>
      <c r="K23" s="345"/>
      <c r="L23" s="345" t="s">
        <v>42</v>
      </c>
      <c r="M23" s="345">
        <v>0</v>
      </c>
      <c r="N23" s="345">
        <v>0</v>
      </c>
      <c r="O23" s="345">
        <v>0</v>
      </c>
      <c r="P23" s="345">
        <v>0</v>
      </c>
      <c r="Q23" s="345" t="s">
        <v>1040</v>
      </c>
      <c r="R23" s="345">
        <v>0</v>
      </c>
      <c r="S23" s="345">
        <v>0</v>
      </c>
      <c r="T23" s="345"/>
      <c r="U23" s="346"/>
      <c r="V23" s="116"/>
      <c r="W23" s="135">
        <f t="shared" si="0"/>
        <v>0</v>
      </c>
      <c r="X23" s="116"/>
      <c r="Y23" s="116">
        <v>3</v>
      </c>
      <c r="Z23" s="116">
        <v>0.086</v>
      </c>
      <c r="AA23" s="116" t="s">
        <v>49</v>
      </c>
      <c r="AB23" s="118"/>
    </row>
    <row r="24" spans="1:28" ht="12.75">
      <c r="A24" s="344" t="s">
        <v>233</v>
      </c>
      <c r="B24" s="345">
        <v>19287</v>
      </c>
      <c r="C24" s="346" t="s">
        <v>42</v>
      </c>
      <c r="D24" s="345">
        <v>20400402</v>
      </c>
      <c r="E24" s="346" t="s">
        <v>1048</v>
      </c>
      <c r="F24" s="345" t="s">
        <v>38</v>
      </c>
      <c r="G24" s="345">
        <v>0</v>
      </c>
      <c r="H24" s="346" t="s">
        <v>218</v>
      </c>
      <c r="I24" s="345">
        <v>90</v>
      </c>
      <c r="J24" s="345" t="s">
        <v>235</v>
      </c>
      <c r="K24" s="345"/>
      <c r="L24" s="345" t="s">
        <v>42</v>
      </c>
      <c r="M24" s="345">
        <v>0</v>
      </c>
      <c r="N24" s="345">
        <v>0</v>
      </c>
      <c r="O24" s="345">
        <v>0</v>
      </c>
      <c r="P24" s="345">
        <v>0</v>
      </c>
      <c r="Q24" s="345" t="s">
        <v>1040</v>
      </c>
      <c r="R24" s="345">
        <v>0</v>
      </c>
      <c r="S24" s="345">
        <v>0</v>
      </c>
      <c r="T24" s="345"/>
      <c r="U24" s="346"/>
      <c r="V24" s="116"/>
      <c r="W24" s="135">
        <f t="shared" si="0"/>
        <v>0.00819</v>
      </c>
      <c r="X24" s="116"/>
      <c r="Y24" s="116">
        <v>3</v>
      </c>
      <c r="Z24" s="116">
        <v>0.182</v>
      </c>
      <c r="AA24" s="116" t="s">
        <v>49</v>
      </c>
      <c r="AB24" s="118"/>
    </row>
    <row r="25" spans="1:28" ht="12.75">
      <c r="A25" s="344" t="s">
        <v>233</v>
      </c>
      <c r="B25" s="345">
        <v>19289</v>
      </c>
      <c r="C25" s="346" t="s">
        <v>42</v>
      </c>
      <c r="D25" s="345">
        <v>20400402</v>
      </c>
      <c r="E25" s="346" t="s">
        <v>1053</v>
      </c>
      <c r="F25" s="345" t="s">
        <v>38</v>
      </c>
      <c r="G25" s="345">
        <v>0</v>
      </c>
      <c r="H25" s="346" t="s">
        <v>218</v>
      </c>
      <c r="I25" s="345">
        <v>5183</v>
      </c>
      <c r="J25" s="345" t="s">
        <v>235</v>
      </c>
      <c r="K25" s="345"/>
      <c r="L25" s="345" t="s">
        <v>42</v>
      </c>
      <c r="M25" s="345">
        <v>0</v>
      </c>
      <c r="N25" s="345">
        <v>0</v>
      </c>
      <c r="O25" s="345">
        <v>0</v>
      </c>
      <c r="P25" s="345">
        <v>0</v>
      </c>
      <c r="Q25" s="345" t="s">
        <v>1040</v>
      </c>
      <c r="R25" s="345">
        <v>0</v>
      </c>
      <c r="S25" s="345">
        <v>0</v>
      </c>
      <c r="T25" s="345"/>
      <c r="U25" s="346"/>
      <c r="V25" s="116"/>
      <c r="W25" s="135">
        <f t="shared" si="0"/>
        <v>1.1765409999999998</v>
      </c>
      <c r="X25" s="116"/>
      <c r="Y25" s="116">
        <v>3</v>
      </c>
      <c r="Z25" s="116">
        <v>0.454</v>
      </c>
      <c r="AA25" s="116" t="s">
        <v>49</v>
      </c>
      <c r="AB25" s="118"/>
    </row>
    <row r="26" spans="1:28" ht="12.75">
      <c r="A26" s="344" t="s">
        <v>233</v>
      </c>
      <c r="B26" s="345">
        <v>19290</v>
      </c>
      <c r="C26" s="346" t="s">
        <v>42</v>
      </c>
      <c r="D26" s="345">
        <v>20400402</v>
      </c>
      <c r="E26" s="346" t="s">
        <v>1052</v>
      </c>
      <c r="F26" s="345" t="s">
        <v>38</v>
      </c>
      <c r="G26" s="345">
        <v>0</v>
      </c>
      <c r="H26" s="346" t="s">
        <v>218</v>
      </c>
      <c r="I26" s="345">
        <v>6193</v>
      </c>
      <c r="J26" s="345" t="s">
        <v>235</v>
      </c>
      <c r="K26" s="345"/>
      <c r="L26" s="345" t="s">
        <v>42</v>
      </c>
      <c r="M26" s="345">
        <v>0</v>
      </c>
      <c r="N26" s="345">
        <v>0</v>
      </c>
      <c r="O26" s="345">
        <v>0</v>
      </c>
      <c r="P26" s="345">
        <v>0</v>
      </c>
      <c r="Q26" s="345" t="s">
        <v>1040</v>
      </c>
      <c r="R26" s="345">
        <v>0</v>
      </c>
      <c r="S26" s="345">
        <v>0</v>
      </c>
      <c r="T26" s="345"/>
      <c r="U26" s="346"/>
      <c r="V26" s="116"/>
      <c r="W26" s="135">
        <f t="shared" si="0"/>
        <v>0.44279949999999996</v>
      </c>
      <c r="X26" s="116"/>
      <c r="Y26" s="116">
        <v>3</v>
      </c>
      <c r="Z26" s="116">
        <v>0.143</v>
      </c>
      <c r="AA26" s="116" t="s">
        <v>49</v>
      </c>
      <c r="AB26" s="118"/>
    </row>
    <row r="27" spans="1:28" ht="12.75">
      <c r="A27" s="344" t="s">
        <v>233</v>
      </c>
      <c r="B27" s="345">
        <v>19921</v>
      </c>
      <c r="C27" s="346" t="s">
        <v>42</v>
      </c>
      <c r="D27" s="345">
        <v>20400401</v>
      </c>
      <c r="E27" s="346" t="s">
        <v>1051</v>
      </c>
      <c r="F27" s="345" t="s">
        <v>38</v>
      </c>
      <c r="G27" s="345">
        <v>0</v>
      </c>
      <c r="H27" s="346" t="s">
        <v>218</v>
      </c>
      <c r="I27" s="345">
        <v>0</v>
      </c>
      <c r="J27" s="345" t="s">
        <v>235</v>
      </c>
      <c r="K27" s="345"/>
      <c r="L27" s="345" t="s">
        <v>42</v>
      </c>
      <c r="M27" s="345">
        <v>0</v>
      </c>
      <c r="N27" s="345">
        <v>0</v>
      </c>
      <c r="O27" s="345">
        <v>0</v>
      </c>
      <c r="P27" s="345">
        <v>0</v>
      </c>
      <c r="Q27" s="345" t="s">
        <v>1040</v>
      </c>
      <c r="R27" s="345">
        <v>0</v>
      </c>
      <c r="S27" s="345">
        <v>0</v>
      </c>
      <c r="T27" s="345"/>
      <c r="U27" s="346"/>
      <c r="V27" s="116"/>
      <c r="W27" s="135">
        <f t="shared" si="0"/>
        <v>0</v>
      </c>
      <c r="X27" s="116"/>
      <c r="Y27" s="116">
        <v>3</v>
      </c>
      <c r="Z27" s="116">
        <v>0.067</v>
      </c>
      <c r="AA27" s="116" t="s">
        <v>49</v>
      </c>
      <c r="AB27" s="118"/>
    </row>
    <row r="28" spans="1:28" ht="12.75">
      <c r="A28" s="344" t="s">
        <v>120</v>
      </c>
      <c r="B28" s="345">
        <v>19922</v>
      </c>
      <c r="C28" s="346" t="s">
        <v>42</v>
      </c>
      <c r="D28" s="345">
        <v>20400402</v>
      </c>
      <c r="E28" s="346" t="s">
        <v>1054</v>
      </c>
      <c r="F28" s="345" t="s">
        <v>38</v>
      </c>
      <c r="G28" s="345">
        <v>0</v>
      </c>
      <c r="H28" s="346" t="s">
        <v>218</v>
      </c>
      <c r="I28" s="345">
        <v>1272351</v>
      </c>
      <c r="J28" s="345" t="s">
        <v>1055</v>
      </c>
      <c r="K28" s="116"/>
      <c r="L28" s="116"/>
      <c r="M28" s="345">
        <v>0</v>
      </c>
      <c r="N28" s="345">
        <v>0</v>
      </c>
      <c r="O28" s="345">
        <v>0</v>
      </c>
      <c r="P28" s="345">
        <v>0</v>
      </c>
      <c r="Q28" s="345" t="s">
        <v>1040</v>
      </c>
      <c r="R28" s="345">
        <v>0</v>
      </c>
      <c r="S28" s="345">
        <v>0</v>
      </c>
      <c r="T28" s="345"/>
      <c r="U28" s="346"/>
      <c r="V28" s="116"/>
      <c r="W28" s="135">
        <f aca="true" t="shared" si="1" ref="W28:W36">Z28*I28/2000</f>
        <v>1.304159775</v>
      </c>
      <c r="X28" s="116"/>
      <c r="Y28" s="116">
        <v>3</v>
      </c>
      <c r="Z28" s="116">
        <v>0.00205</v>
      </c>
      <c r="AA28" s="116" t="s">
        <v>259</v>
      </c>
      <c r="AB28" s="118"/>
    </row>
    <row r="29" spans="1:28" ht="12.75">
      <c r="A29" s="344" t="s">
        <v>120</v>
      </c>
      <c r="B29" s="345">
        <v>19923</v>
      </c>
      <c r="C29" s="346" t="s">
        <v>42</v>
      </c>
      <c r="D29" s="345">
        <v>20400401</v>
      </c>
      <c r="E29" s="346" t="s">
        <v>1056</v>
      </c>
      <c r="F29" s="345" t="s">
        <v>38</v>
      </c>
      <c r="G29" s="345">
        <v>0</v>
      </c>
      <c r="H29" s="346" t="s">
        <v>273</v>
      </c>
      <c r="I29" s="345">
        <v>332521.5</v>
      </c>
      <c r="J29" s="345" t="s">
        <v>1055</v>
      </c>
      <c r="K29" s="116"/>
      <c r="L29" s="116"/>
      <c r="M29" s="345">
        <v>0</v>
      </c>
      <c r="N29" s="345">
        <v>0</v>
      </c>
      <c r="O29" s="345">
        <v>0</v>
      </c>
      <c r="P29" s="345">
        <v>0</v>
      </c>
      <c r="Q29" s="345" t="s">
        <v>1040</v>
      </c>
      <c r="R29" s="345">
        <v>0</v>
      </c>
      <c r="S29" s="345">
        <v>0</v>
      </c>
      <c r="T29" s="345"/>
      <c r="U29" s="346"/>
      <c r="V29" s="116"/>
      <c r="W29" s="135">
        <f t="shared" si="1"/>
        <v>0.09826010325000001</v>
      </c>
      <c r="X29" s="116"/>
      <c r="Y29" s="116">
        <v>3</v>
      </c>
      <c r="Z29" s="116">
        <v>0.000591</v>
      </c>
      <c r="AA29" s="116" t="s">
        <v>259</v>
      </c>
      <c r="AB29" s="118"/>
    </row>
    <row r="30" spans="1:28" ht="12.75">
      <c r="A30" s="344">
        <v>12</v>
      </c>
      <c r="B30" s="345">
        <v>170983</v>
      </c>
      <c r="C30" s="346"/>
      <c r="D30" s="345">
        <v>28888801</v>
      </c>
      <c r="E30" s="346" t="s">
        <v>1057</v>
      </c>
      <c r="F30" s="345" t="s">
        <v>38</v>
      </c>
      <c r="G30" s="345">
        <v>0</v>
      </c>
      <c r="H30" s="346" t="s">
        <v>218</v>
      </c>
      <c r="I30" s="345">
        <v>64915</v>
      </c>
      <c r="J30" s="345" t="s">
        <v>235</v>
      </c>
      <c r="K30" s="116"/>
      <c r="L30" s="116"/>
      <c r="M30" s="345">
        <v>0</v>
      </c>
      <c r="N30" s="345">
        <v>0</v>
      </c>
      <c r="O30" s="345">
        <v>0</v>
      </c>
      <c r="P30" s="345">
        <v>0</v>
      </c>
      <c r="Q30" s="345" t="s">
        <v>1040</v>
      </c>
      <c r="R30" s="345">
        <v>0</v>
      </c>
      <c r="S30" s="345">
        <v>0</v>
      </c>
      <c r="T30" s="345"/>
      <c r="U30" s="346"/>
      <c r="V30" s="116"/>
      <c r="W30" s="135">
        <f t="shared" si="1"/>
        <v>2.46677</v>
      </c>
      <c r="X30" s="116"/>
      <c r="Y30" s="116">
        <v>3</v>
      </c>
      <c r="Z30" s="116">
        <v>0.076</v>
      </c>
      <c r="AA30" s="116" t="s">
        <v>49</v>
      </c>
      <c r="AB30" s="118"/>
    </row>
    <row r="31" spans="1:28" ht="12.75">
      <c r="A31" s="344">
        <v>12</v>
      </c>
      <c r="B31" s="345">
        <v>170984</v>
      </c>
      <c r="C31" s="346"/>
      <c r="D31" s="345">
        <v>28888802</v>
      </c>
      <c r="E31" s="346" t="s">
        <v>1058</v>
      </c>
      <c r="F31" s="345" t="s">
        <v>38</v>
      </c>
      <c r="G31" s="345">
        <v>0</v>
      </c>
      <c r="H31" s="346" t="s">
        <v>273</v>
      </c>
      <c r="I31" s="345">
        <v>472</v>
      </c>
      <c r="J31" s="345" t="s">
        <v>235</v>
      </c>
      <c r="K31" s="116"/>
      <c r="L31" s="116"/>
      <c r="M31" s="345">
        <v>0</v>
      </c>
      <c r="N31" s="345">
        <v>0</v>
      </c>
      <c r="O31" s="345">
        <v>0</v>
      </c>
      <c r="P31" s="345">
        <v>0</v>
      </c>
      <c r="Q31" s="345" t="s">
        <v>1040</v>
      </c>
      <c r="R31" s="345">
        <v>0</v>
      </c>
      <c r="S31" s="345">
        <v>0</v>
      </c>
      <c r="T31" s="345"/>
      <c r="U31" s="346"/>
      <c r="V31" s="116"/>
      <c r="W31" s="135">
        <f t="shared" si="1"/>
        <v>0.0055224</v>
      </c>
      <c r="X31" s="116"/>
      <c r="Y31" s="116">
        <v>3</v>
      </c>
      <c r="Z31" s="116">
        <v>0.0234</v>
      </c>
      <c r="AA31" s="116" t="s">
        <v>49</v>
      </c>
      <c r="AB31" s="118"/>
    </row>
    <row r="32" spans="1:28" ht="12.75">
      <c r="A32" s="344">
        <v>12</v>
      </c>
      <c r="B32" s="345">
        <v>170293</v>
      </c>
      <c r="C32" s="346"/>
      <c r="D32" s="345">
        <v>28888801</v>
      </c>
      <c r="E32" s="346" t="s">
        <v>1059</v>
      </c>
      <c r="F32" s="345" t="s">
        <v>38</v>
      </c>
      <c r="G32" s="345">
        <v>0</v>
      </c>
      <c r="H32" s="346" t="s">
        <v>218</v>
      </c>
      <c r="I32" s="345">
        <v>963</v>
      </c>
      <c r="J32" s="345" t="s">
        <v>235</v>
      </c>
      <c r="K32" s="116"/>
      <c r="L32" s="116"/>
      <c r="M32" s="345">
        <v>0</v>
      </c>
      <c r="N32" s="345">
        <v>0</v>
      </c>
      <c r="O32" s="345">
        <v>0</v>
      </c>
      <c r="P32" s="345">
        <v>0</v>
      </c>
      <c r="Q32" s="345" t="s">
        <v>1040</v>
      </c>
      <c r="R32" s="345">
        <v>0</v>
      </c>
      <c r="S32" s="345">
        <v>0</v>
      </c>
      <c r="T32" s="345"/>
      <c r="U32" s="346"/>
      <c r="V32" s="116"/>
      <c r="W32" s="135">
        <f t="shared" si="1"/>
        <v>0.043335</v>
      </c>
      <c r="X32" s="116"/>
      <c r="Y32" s="116">
        <v>3</v>
      </c>
      <c r="Z32" s="116">
        <v>0.09</v>
      </c>
      <c r="AA32" s="116" t="s">
        <v>49</v>
      </c>
      <c r="AB32" s="118"/>
    </row>
    <row r="33" spans="1:28" ht="12.75">
      <c r="A33" s="344" t="s">
        <v>120</v>
      </c>
      <c r="B33" s="345">
        <v>170298</v>
      </c>
      <c r="C33" s="346"/>
      <c r="D33" s="345">
        <v>20200301</v>
      </c>
      <c r="E33" s="346" t="s">
        <v>1060</v>
      </c>
      <c r="F33" s="345" t="s">
        <v>38</v>
      </c>
      <c r="G33" s="345">
        <v>0</v>
      </c>
      <c r="H33" s="346" t="s">
        <v>273</v>
      </c>
      <c r="I33" s="345">
        <v>4205</v>
      </c>
      <c r="J33" s="345" t="s">
        <v>1055</v>
      </c>
      <c r="K33" s="116"/>
      <c r="L33" s="116"/>
      <c r="M33" s="345">
        <v>0</v>
      </c>
      <c r="N33" s="345">
        <v>0</v>
      </c>
      <c r="O33" s="345">
        <v>0</v>
      </c>
      <c r="P33" s="345">
        <v>0</v>
      </c>
      <c r="Q33" s="345" t="s">
        <v>1040</v>
      </c>
      <c r="R33" s="345">
        <v>0</v>
      </c>
      <c r="S33" s="345">
        <v>0</v>
      </c>
      <c r="T33" s="345"/>
      <c r="U33" s="346"/>
      <c r="V33" s="116"/>
      <c r="W33" s="135">
        <f t="shared" si="1"/>
        <v>0.0012425775</v>
      </c>
      <c r="X33" s="116"/>
      <c r="Y33" s="116">
        <v>3</v>
      </c>
      <c r="Z33" s="116">
        <v>0.000591</v>
      </c>
      <c r="AA33" s="116" t="s">
        <v>259</v>
      </c>
      <c r="AB33" s="118"/>
    </row>
    <row r="34" spans="1:28" ht="12.75">
      <c r="A34" s="344" t="s">
        <v>120</v>
      </c>
      <c r="B34" s="345">
        <v>170299</v>
      </c>
      <c r="C34" s="346"/>
      <c r="D34" s="345">
        <v>20200301</v>
      </c>
      <c r="E34" s="346" t="s">
        <v>1061</v>
      </c>
      <c r="F34" s="345" t="s">
        <v>38</v>
      </c>
      <c r="G34" s="345">
        <v>0</v>
      </c>
      <c r="H34" s="346" t="s">
        <v>218</v>
      </c>
      <c r="I34" s="345">
        <v>6385185</v>
      </c>
      <c r="J34" s="345" t="s">
        <v>1055</v>
      </c>
      <c r="K34" s="116"/>
      <c r="L34" s="116"/>
      <c r="M34" s="345">
        <v>0</v>
      </c>
      <c r="N34" s="345">
        <v>0</v>
      </c>
      <c r="O34" s="345">
        <v>0</v>
      </c>
      <c r="P34" s="345">
        <v>0</v>
      </c>
      <c r="Q34" s="345" t="s">
        <v>1040</v>
      </c>
      <c r="R34" s="345">
        <v>0</v>
      </c>
      <c r="S34" s="345">
        <v>0</v>
      </c>
      <c r="T34" s="345"/>
      <c r="U34" s="346"/>
      <c r="V34" s="116"/>
      <c r="W34" s="135">
        <f t="shared" si="1"/>
        <v>6.544814625000001</v>
      </c>
      <c r="X34" s="116"/>
      <c r="Y34" s="116">
        <v>3</v>
      </c>
      <c r="Z34" s="116">
        <v>0.00205</v>
      </c>
      <c r="AA34" s="116" t="s">
        <v>259</v>
      </c>
      <c r="AB34" s="118"/>
    </row>
    <row r="35" spans="1:28" ht="12.75">
      <c r="A35" s="344" t="s">
        <v>120</v>
      </c>
      <c r="B35" s="345">
        <v>170300</v>
      </c>
      <c r="C35" s="346"/>
      <c r="D35" s="345">
        <v>20200301</v>
      </c>
      <c r="E35" s="346" t="s">
        <v>1062</v>
      </c>
      <c r="F35" s="345" t="s">
        <v>38</v>
      </c>
      <c r="G35" s="345">
        <v>0</v>
      </c>
      <c r="H35" s="346" t="s">
        <v>218</v>
      </c>
      <c r="I35" s="345">
        <v>408629</v>
      </c>
      <c r="J35" s="345" t="s">
        <v>1055</v>
      </c>
      <c r="K35" s="116"/>
      <c r="L35" s="116"/>
      <c r="M35" s="345">
        <v>0</v>
      </c>
      <c r="N35" s="345">
        <v>0</v>
      </c>
      <c r="O35" s="345">
        <v>0</v>
      </c>
      <c r="P35" s="345">
        <v>0</v>
      </c>
      <c r="Q35" s="345" t="s">
        <v>1040</v>
      </c>
      <c r="R35" s="345">
        <v>0</v>
      </c>
      <c r="S35" s="345">
        <v>0</v>
      </c>
      <c r="T35" s="345"/>
      <c r="U35" s="346"/>
      <c r="V35" s="116"/>
      <c r="W35" s="135">
        <f t="shared" si="1"/>
        <v>0.0066197898</v>
      </c>
      <c r="X35" s="116"/>
      <c r="Y35" s="116">
        <v>3</v>
      </c>
      <c r="Z35" s="116">
        <v>3.24E-05</v>
      </c>
      <c r="AA35" s="116" t="s">
        <v>1042</v>
      </c>
      <c r="AB35" s="118"/>
    </row>
    <row r="36" spans="1:28" ht="13.5" thickBot="1">
      <c r="A36" s="347" t="s">
        <v>120</v>
      </c>
      <c r="B36" s="348">
        <v>170301</v>
      </c>
      <c r="C36" s="349"/>
      <c r="D36" s="348">
        <v>20200301</v>
      </c>
      <c r="E36" s="349" t="s">
        <v>1063</v>
      </c>
      <c r="F36" s="348" t="s">
        <v>38</v>
      </c>
      <c r="G36" s="348">
        <v>0</v>
      </c>
      <c r="H36" s="349" t="s">
        <v>218</v>
      </c>
      <c r="I36" s="348">
        <v>785520</v>
      </c>
      <c r="J36" s="348" t="s">
        <v>1055</v>
      </c>
      <c r="K36" s="119"/>
      <c r="L36" s="119"/>
      <c r="M36" s="348">
        <v>0</v>
      </c>
      <c r="N36" s="348">
        <v>0</v>
      </c>
      <c r="O36" s="348">
        <v>0</v>
      </c>
      <c r="P36" s="348">
        <v>0</v>
      </c>
      <c r="Q36" s="348" t="s">
        <v>1040</v>
      </c>
      <c r="R36" s="348">
        <v>0</v>
      </c>
      <c r="S36" s="348">
        <v>0</v>
      </c>
      <c r="T36" s="348"/>
      <c r="U36" s="349"/>
      <c r="V36" s="119"/>
      <c r="W36" s="139">
        <f t="shared" si="1"/>
        <v>0.012725424</v>
      </c>
      <c r="X36" s="119"/>
      <c r="Y36" s="119">
        <v>3</v>
      </c>
      <c r="Z36" s="119">
        <v>3.24E-05</v>
      </c>
      <c r="AA36" s="119" t="s">
        <v>1042</v>
      </c>
      <c r="AB36" s="122"/>
    </row>
    <row r="37" spans="1:28" ht="13.5" thickBot="1">
      <c r="A37" s="350"/>
      <c r="B37" s="351"/>
      <c r="C37" s="350"/>
      <c r="D37" s="351"/>
      <c r="E37" s="350"/>
      <c r="F37" s="351"/>
      <c r="G37" s="351"/>
      <c r="H37" s="350"/>
      <c r="I37" s="351"/>
      <c r="J37" s="351"/>
      <c r="K37" s="107"/>
      <c r="L37" s="107"/>
      <c r="M37" s="351"/>
      <c r="N37" s="351"/>
      <c r="O37" s="351"/>
      <c r="P37" s="351"/>
      <c r="Q37" s="351"/>
      <c r="R37" s="351"/>
      <c r="S37" s="351"/>
      <c r="T37" s="351"/>
      <c r="U37" s="350"/>
      <c r="V37" s="140" t="s">
        <v>830</v>
      </c>
      <c r="W37" s="141">
        <f>SUM(W9:W36)</f>
        <v>39.16145369454999</v>
      </c>
      <c r="X37" s="107"/>
      <c r="Y37" s="107"/>
      <c r="Z37" s="107"/>
      <c r="AA37" s="107"/>
      <c r="AB37" s="107"/>
    </row>
    <row r="38" ht="13.5" thickTop="1"/>
    <row r="40" ht="12.75">
      <c r="C40" t="s">
        <v>1064</v>
      </c>
    </row>
    <row r="41" ht="12.75">
      <c r="C41" t="s">
        <v>1065</v>
      </c>
    </row>
    <row r="42" ht="12.75">
      <c r="D42" t="s">
        <v>1066</v>
      </c>
    </row>
    <row r="43" ht="12.75">
      <c r="C43" t="s">
        <v>1067</v>
      </c>
    </row>
    <row r="44" ht="12.75">
      <c r="D44" t="s">
        <v>1068</v>
      </c>
    </row>
    <row r="45" ht="12.75">
      <c r="C45" t="s">
        <v>1069</v>
      </c>
    </row>
    <row r="46" ht="12.75">
      <c r="D46" t="s">
        <v>1070</v>
      </c>
    </row>
    <row r="47" ht="12.75">
      <c r="C47" t="s">
        <v>289</v>
      </c>
    </row>
    <row r="48" ht="12.75">
      <c r="D48" t="s">
        <v>1071</v>
      </c>
    </row>
    <row r="49" ht="12.75">
      <c r="D49" t="s">
        <v>1072</v>
      </c>
    </row>
    <row r="50" ht="12.75">
      <c r="D50" t="s">
        <v>1073</v>
      </c>
    </row>
    <row r="51" ht="12.75">
      <c r="D51" t="s">
        <v>1074</v>
      </c>
    </row>
    <row r="52" ht="12.75">
      <c r="D52" t="s">
        <v>1075</v>
      </c>
    </row>
    <row r="53" ht="12.75">
      <c r="D53" t="s">
        <v>1076</v>
      </c>
    </row>
    <row r="54" spans="3:4" ht="12.75">
      <c r="C54" s="351"/>
      <c r="D54" t="s">
        <v>1077</v>
      </c>
    </row>
    <row r="55" ht="12.75">
      <c r="C55" s="351"/>
    </row>
    <row r="56" ht="12.75">
      <c r="C56" s="351"/>
    </row>
    <row r="57" ht="12.75">
      <c r="C57" s="351"/>
    </row>
  </sheetData>
  <mergeCells count="24">
    <mergeCell ref="Y6:Y8"/>
    <mergeCell ref="Z6:Z8"/>
    <mergeCell ref="AA6:AA8"/>
    <mergeCell ref="AB6:AB8"/>
    <mergeCell ref="T6:U6"/>
    <mergeCell ref="V6:V8"/>
    <mergeCell ref="W6:W8"/>
    <mergeCell ref="X6:X8"/>
    <mergeCell ref="T7:T8"/>
    <mergeCell ref="U7:U8"/>
    <mergeCell ref="I6:L7"/>
    <mergeCell ref="M6:P7"/>
    <mergeCell ref="Q6:Q8"/>
    <mergeCell ref="R6:S6"/>
    <mergeCell ref="R7:R8"/>
    <mergeCell ref="S7:S8"/>
    <mergeCell ref="E6:E8"/>
    <mergeCell ref="F6:F8"/>
    <mergeCell ref="G6:G8"/>
    <mergeCell ref="H6:H8"/>
    <mergeCell ref="A6:A8"/>
    <mergeCell ref="B6:B8"/>
    <mergeCell ref="C6:C8"/>
    <mergeCell ref="D6:D8"/>
  </mergeCells>
  <printOptions horizontalCentered="1"/>
  <pageMargins left="0.75" right="0.75" top="1.4" bottom="1" header="0.5" footer="0.5"/>
  <pageSetup horizontalDpi="600" verticalDpi="600" orientation="landscape" pageOrder="overThenDown" r:id="rId1"/>
  <headerFooter alignWithMargins="0">
    <oddHeader>&amp;L
Wasatch Constructors
Site:  I-15 Corridor Reconstruction
Site ID:  12096&amp;CRegional Haze
2000 Statewide SOx Sources</oddHeader>
    <oddFooter>&amp;R&amp;D
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27"/>
  <sheetViews>
    <sheetView workbookViewId="0" topLeftCell="A1">
      <selection activeCell="B31" sqref="B31"/>
    </sheetView>
  </sheetViews>
  <sheetFormatPr defaultColWidth="9.140625" defaultRowHeight="12.75"/>
  <cols>
    <col min="1" max="1" width="8.57421875" style="0" customWidth="1"/>
    <col min="2" max="2" width="8.421875" style="0" customWidth="1"/>
    <col min="3" max="3" width="8.8515625" style="0" customWidth="1"/>
    <col min="4" max="4" width="10.00390625" style="0" customWidth="1"/>
    <col min="5" max="5" width="21.421875" style="0" customWidth="1"/>
    <col min="6" max="6" width="6.140625" style="0" customWidth="1"/>
    <col min="7" max="7" width="10.28125" style="0" customWidth="1"/>
    <col min="8" max="8" width="18.00390625" style="0" customWidth="1"/>
    <col min="9" max="9" width="8.421875" style="0" customWidth="1"/>
    <col min="10" max="10" width="8.00390625" style="0" customWidth="1"/>
    <col min="11" max="11" width="7.57421875" style="0" customWidth="1"/>
    <col min="12" max="12" width="9.7109375" style="0" customWidth="1"/>
    <col min="13" max="13" width="7.8515625" style="0" customWidth="1"/>
    <col min="14" max="14" width="7.00390625" style="0" customWidth="1"/>
    <col min="15" max="15" width="7.421875" style="0" customWidth="1"/>
    <col min="16" max="16" width="6.8515625" style="0" customWidth="1"/>
    <col min="18" max="18" width="17.00390625" style="0" customWidth="1"/>
    <col min="20" max="20" width="19.8515625" style="0" customWidth="1"/>
    <col min="22" max="22" width="10.57421875" style="0" customWidth="1"/>
    <col min="23" max="24" width="11.7109375" style="0" customWidth="1"/>
    <col min="26" max="26" width="8.7109375" style="0" customWidth="1"/>
    <col min="27" max="27" width="11.28125" style="0" customWidth="1"/>
    <col min="28" max="28" width="29.140625" style="0" customWidth="1"/>
  </cols>
  <sheetData>
    <row r="1" spans="1:5" ht="15.75">
      <c r="A1" s="96" t="s">
        <v>133</v>
      </c>
      <c r="B1" s="59"/>
      <c r="E1" s="4" t="s">
        <v>1</v>
      </c>
    </row>
    <row r="2" spans="1:5" ht="15">
      <c r="A2" s="59"/>
      <c r="B2" s="59"/>
      <c r="E2" s="5" t="s">
        <v>95</v>
      </c>
    </row>
    <row r="3" spans="1:5" ht="15">
      <c r="A3" s="59"/>
      <c r="B3" s="59"/>
      <c r="E3" s="5"/>
    </row>
    <row r="4" spans="1:5" ht="15">
      <c r="A4" s="59"/>
      <c r="B4" s="59"/>
      <c r="E4" s="5"/>
    </row>
    <row r="5" spans="1:5" ht="15">
      <c r="A5" s="59"/>
      <c r="B5" s="59"/>
      <c r="E5" s="5"/>
    </row>
    <row r="6" spans="1:2" ht="12.75">
      <c r="A6" s="96" t="s">
        <v>2</v>
      </c>
      <c r="B6" s="96" t="s">
        <v>134</v>
      </c>
    </row>
    <row r="7" spans="1:2" ht="12.75">
      <c r="A7" s="61">
        <v>10311</v>
      </c>
      <c r="B7" s="96" t="s">
        <v>135</v>
      </c>
    </row>
    <row r="8" ht="13.5" thickBot="1">
      <c r="B8" t="s">
        <v>136</v>
      </c>
    </row>
    <row r="9" spans="1:28" ht="16.5" customHeight="1">
      <c r="A9" s="418" t="s">
        <v>5</v>
      </c>
      <c r="B9" s="399" t="s">
        <v>6</v>
      </c>
      <c r="C9" s="399" t="s">
        <v>7</v>
      </c>
      <c r="D9" s="399" t="s">
        <v>8</v>
      </c>
      <c r="E9" s="399" t="s">
        <v>9</v>
      </c>
      <c r="F9" s="399" t="s">
        <v>10</v>
      </c>
      <c r="G9" s="399" t="s">
        <v>11</v>
      </c>
      <c r="H9" s="399" t="s">
        <v>12</v>
      </c>
      <c r="I9" s="412" t="s">
        <v>13</v>
      </c>
      <c r="J9" s="413"/>
      <c r="K9" s="413"/>
      <c r="L9" s="413"/>
      <c r="M9" s="412" t="s">
        <v>14</v>
      </c>
      <c r="N9" s="413"/>
      <c r="O9" s="413"/>
      <c r="P9" s="413"/>
      <c r="Q9" s="384" t="s">
        <v>15</v>
      </c>
      <c r="R9" s="412" t="s">
        <v>16</v>
      </c>
      <c r="S9" s="417"/>
      <c r="T9" s="412" t="s">
        <v>17</v>
      </c>
      <c r="U9" s="417"/>
      <c r="V9" s="384" t="s">
        <v>18</v>
      </c>
      <c r="W9" s="384" t="s">
        <v>99</v>
      </c>
      <c r="X9" s="384" t="s">
        <v>100</v>
      </c>
      <c r="Y9" s="384" t="s">
        <v>21</v>
      </c>
      <c r="Z9" s="384" t="s">
        <v>22</v>
      </c>
      <c r="AA9" s="384" t="s">
        <v>23</v>
      </c>
      <c r="AB9" s="387" t="s">
        <v>24</v>
      </c>
    </row>
    <row r="10" spans="1:28" s="9" customFormat="1" ht="24.75" customHeight="1">
      <c r="A10" s="419"/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4"/>
      <c r="R10" s="396" t="s">
        <v>29</v>
      </c>
      <c r="S10" s="396" t="s">
        <v>30</v>
      </c>
      <c r="T10" s="396" t="s">
        <v>101</v>
      </c>
      <c r="U10" s="396" t="s">
        <v>30</v>
      </c>
      <c r="V10" s="385"/>
      <c r="W10" s="385"/>
      <c r="X10" s="385"/>
      <c r="Y10" s="385"/>
      <c r="Z10" s="385"/>
      <c r="AA10" s="414"/>
      <c r="AB10" s="388"/>
    </row>
    <row r="11" spans="1:28" ht="25.5" customHeight="1" thickBot="1">
      <c r="A11" s="422"/>
      <c r="B11" s="423"/>
      <c r="C11" s="423"/>
      <c r="D11" s="423"/>
      <c r="E11" s="423"/>
      <c r="F11" s="423"/>
      <c r="G11" s="423"/>
      <c r="H11" s="423"/>
      <c r="I11" s="11" t="s">
        <v>32</v>
      </c>
      <c r="J11" s="11" t="s">
        <v>33</v>
      </c>
      <c r="K11" s="11" t="s">
        <v>34</v>
      </c>
      <c r="L11" s="11" t="s">
        <v>26</v>
      </c>
      <c r="M11" s="11" t="s">
        <v>25</v>
      </c>
      <c r="N11" s="11" t="s">
        <v>26</v>
      </c>
      <c r="O11" s="11" t="s">
        <v>27</v>
      </c>
      <c r="P11" s="11" t="s">
        <v>28</v>
      </c>
      <c r="Q11" s="421"/>
      <c r="R11" s="386"/>
      <c r="S11" s="386"/>
      <c r="T11" s="421"/>
      <c r="U11" s="386"/>
      <c r="V11" s="386"/>
      <c r="W11" s="386"/>
      <c r="X11" s="386"/>
      <c r="Y11" s="386"/>
      <c r="Z11" s="386"/>
      <c r="AA11" s="421"/>
      <c r="AB11" s="389"/>
    </row>
    <row r="12" spans="1:28" ht="12.75">
      <c r="A12" s="98">
        <v>3</v>
      </c>
      <c r="B12" s="99">
        <v>4237</v>
      </c>
      <c r="C12" s="100" t="s">
        <v>137</v>
      </c>
      <c r="D12" s="101">
        <v>30100308</v>
      </c>
      <c r="E12" s="100" t="s">
        <v>138</v>
      </c>
      <c r="F12" s="101" t="s">
        <v>38</v>
      </c>
      <c r="G12" s="101">
        <v>1648</v>
      </c>
      <c r="H12" s="100" t="s">
        <v>139</v>
      </c>
      <c r="I12" s="99">
        <v>121.532</v>
      </c>
      <c r="J12" s="100" t="s">
        <v>114</v>
      </c>
      <c r="K12" s="99">
        <v>12.5</v>
      </c>
      <c r="L12" s="100" t="s">
        <v>140</v>
      </c>
      <c r="M12" s="99">
        <v>150000</v>
      </c>
      <c r="N12" s="100" t="s">
        <v>80</v>
      </c>
      <c r="O12" s="101">
        <v>1.5</v>
      </c>
      <c r="P12" s="101" t="s">
        <v>103</v>
      </c>
      <c r="Q12" s="101" t="s">
        <v>103</v>
      </c>
      <c r="R12" s="101" t="s">
        <v>103</v>
      </c>
      <c r="S12" s="101" t="s">
        <v>103</v>
      </c>
      <c r="T12" s="101" t="s">
        <v>103</v>
      </c>
      <c r="U12" s="101" t="s">
        <v>103</v>
      </c>
      <c r="V12" s="101" t="s">
        <v>103</v>
      </c>
      <c r="W12" s="102">
        <f>I12*Z12/2000</f>
        <v>14.310393</v>
      </c>
      <c r="X12" s="101" t="s">
        <v>103</v>
      </c>
      <c r="Y12" s="101">
        <v>8</v>
      </c>
      <c r="Z12" s="99">
        <v>235.5</v>
      </c>
      <c r="AA12" s="100" t="s">
        <v>115</v>
      </c>
      <c r="AB12" s="103" t="s">
        <v>103</v>
      </c>
    </row>
    <row r="13" spans="1:28" ht="12.75">
      <c r="A13" s="83">
        <v>3</v>
      </c>
      <c r="B13" s="84">
        <v>7275</v>
      </c>
      <c r="C13" s="85" t="s">
        <v>141</v>
      </c>
      <c r="D13" s="86">
        <v>30590001</v>
      </c>
      <c r="E13" s="85" t="s">
        <v>142</v>
      </c>
      <c r="F13" s="86" t="s">
        <v>38</v>
      </c>
      <c r="G13" s="86">
        <v>1649</v>
      </c>
      <c r="H13" s="85" t="s">
        <v>143</v>
      </c>
      <c r="I13" s="84">
        <v>1397.614</v>
      </c>
      <c r="J13" s="85" t="s">
        <v>114</v>
      </c>
      <c r="K13" s="84">
        <v>81.2</v>
      </c>
      <c r="L13" s="85" t="s">
        <v>140</v>
      </c>
      <c r="M13" s="84">
        <v>150000</v>
      </c>
      <c r="N13" s="85" t="s">
        <v>80</v>
      </c>
      <c r="O13" s="86">
        <v>1.5</v>
      </c>
      <c r="P13" s="86" t="s">
        <v>103</v>
      </c>
      <c r="Q13" s="86" t="s">
        <v>103</v>
      </c>
      <c r="R13" s="86" t="s">
        <v>103</v>
      </c>
      <c r="S13" s="86" t="s">
        <v>103</v>
      </c>
      <c r="T13" s="86" t="s">
        <v>103</v>
      </c>
      <c r="U13" s="86" t="s">
        <v>103</v>
      </c>
      <c r="V13" s="86" t="s">
        <v>103</v>
      </c>
      <c r="W13" s="104">
        <f>I13*Z13/2000</f>
        <v>164.5690485</v>
      </c>
      <c r="X13" s="86" t="s">
        <v>103</v>
      </c>
      <c r="Y13" s="86">
        <v>8</v>
      </c>
      <c r="Z13" s="84">
        <v>235.5</v>
      </c>
      <c r="AA13" s="85" t="s">
        <v>115</v>
      </c>
      <c r="AB13" s="87" t="s">
        <v>103</v>
      </c>
    </row>
    <row r="14" spans="1:28" ht="12.75">
      <c r="A14" s="83">
        <v>3</v>
      </c>
      <c r="B14" s="84">
        <v>14692</v>
      </c>
      <c r="C14" s="85" t="s">
        <v>144</v>
      </c>
      <c r="D14" s="86">
        <v>30590001</v>
      </c>
      <c r="E14" s="85" t="s">
        <v>145</v>
      </c>
      <c r="F14" s="86" t="s">
        <v>38</v>
      </c>
      <c r="G14" s="86" t="s">
        <v>103</v>
      </c>
      <c r="H14" s="85" t="s">
        <v>146</v>
      </c>
      <c r="I14" s="84">
        <v>71.281</v>
      </c>
      <c r="J14" s="85" t="s">
        <v>114</v>
      </c>
      <c r="K14" s="84" t="s">
        <v>103</v>
      </c>
      <c r="L14" s="85" t="s">
        <v>103</v>
      </c>
      <c r="M14" s="84" t="s">
        <v>103</v>
      </c>
      <c r="N14" s="85" t="s">
        <v>103</v>
      </c>
      <c r="O14" s="86" t="s">
        <v>103</v>
      </c>
      <c r="P14" s="86" t="s">
        <v>103</v>
      </c>
      <c r="Q14" s="86" t="s">
        <v>103</v>
      </c>
      <c r="R14" s="86" t="s">
        <v>147</v>
      </c>
      <c r="S14" s="86">
        <v>17</v>
      </c>
      <c r="T14" s="86" t="s">
        <v>103</v>
      </c>
      <c r="U14" s="86" t="s">
        <v>103</v>
      </c>
      <c r="V14" s="86" t="s">
        <v>103</v>
      </c>
      <c r="W14" s="104">
        <f>I14*Z14/2000</f>
        <v>0.036709715000000004</v>
      </c>
      <c r="X14" s="86" t="s">
        <v>103</v>
      </c>
      <c r="Y14" s="86">
        <v>8</v>
      </c>
      <c r="Z14" s="84">
        <v>1.03</v>
      </c>
      <c r="AA14" s="85" t="s">
        <v>115</v>
      </c>
      <c r="AB14" s="87" t="s">
        <v>103</v>
      </c>
    </row>
    <row r="15" spans="1:28" ht="12.75">
      <c r="A15" s="83">
        <v>3</v>
      </c>
      <c r="B15" s="84">
        <v>2336</v>
      </c>
      <c r="C15" s="85" t="s">
        <v>148</v>
      </c>
      <c r="D15" s="86">
        <v>30599999</v>
      </c>
      <c r="E15" s="85" t="s">
        <v>149</v>
      </c>
      <c r="F15" s="86" t="s">
        <v>38</v>
      </c>
      <c r="G15" s="86">
        <v>1657</v>
      </c>
      <c r="H15" s="85" t="s">
        <v>146</v>
      </c>
      <c r="I15" s="84">
        <v>31.114</v>
      </c>
      <c r="J15" s="85" t="s">
        <v>114</v>
      </c>
      <c r="K15" s="84">
        <v>432</v>
      </c>
      <c r="L15" s="85" t="s">
        <v>150</v>
      </c>
      <c r="M15" s="84" t="s">
        <v>103</v>
      </c>
      <c r="N15" s="85" t="s">
        <v>103</v>
      </c>
      <c r="O15" s="86" t="s">
        <v>103</v>
      </c>
      <c r="P15" s="86" t="s">
        <v>103</v>
      </c>
      <c r="Q15" s="86" t="s">
        <v>103</v>
      </c>
      <c r="R15" s="86" t="s">
        <v>151</v>
      </c>
      <c r="S15" s="86">
        <v>2</v>
      </c>
      <c r="T15" s="86" t="s">
        <v>152</v>
      </c>
      <c r="U15" s="86">
        <v>13</v>
      </c>
      <c r="V15" s="86" t="s">
        <v>103</v>
      </c>
      <c r="W15" s="104">
        <f>I15*Z15/2000</f>
        <v>0.01602371</v>
      </c>
      <c r="X15" s="86" t="s">
        <v>103</v>
      </c>
      <c r="Y15" s="86">
        <v>8</v>
      </c>
      <c r="Z15" s="84">
        <v>1.03</v>
      </c>
      <c r="AA15" s="85" t="s">
        <v>115</v>
      </c>
      <c r="AB15" s="87" t="s">
        <v>103</v>
      </c>
    </row>
    <row r="16" spans="1:28" ht="13.5" thickBot="1">
      <c r="A16" s="88">
        <v>12</v>
      </c>
      <c r="B16" s="89">
        <v>8002</v>
      </c>
      <c r="C16" s="90" t="s">
        <v>153</v>
      </c>
      <c r="D16" s="91">
        <v>28888801</v>
      </c>
      <c r="E16" s="90" t="s">
        <v>154</v>
      </c>
      <c r="F16" s="91" t="s">
        <v>38</v>
      </c>
      <c r="G16" s="91" t="s">
        <v>103</v>
      </c>
      <c r="H16" s="90" t="s">
        <v>78</v>
      </c>
      <c r="I16" s="89">
        <v>2003</v>
      </c>
      <c r="J16" s="90" t="s">
        <v>69</v>
      </c>
      <c r="K16" s="89" t="s">
        <v>103</v>
      </c>
      <c r="L16" s="90" t="s">
        <v>103</v>
      </c>
      <c r="M16" s="89" t="s">
        <v>103</v>
      </c>
      <c r="N16" s="90" t="s">
        <v>103</v>
      </c>
      <c r="O16" s="91" t="s">
        <v>103</v>
      </c>
      <c r="P16" s="91" t="s">
        <v>103</v>
      </c>
      <c r="Q16" s="91" t="s">
        <v>103</v>
      </c>
      <c r="R16" s="91" t="s">
        <v>103</v>
      </c>
      <c r="S16" s="91" t="s">
        <v>103</v>
      </c>
      <c r="T16" s="91" t="s">
        <v>103</v>
      </c>
      <c r="U16" s="91" t="s">
        <v>103</v>
      </c>
      <c r="V16" s="91" t="s">
        <v>103</v>
      </c>
      <c r="W16" s="105">
        <f>I16*Z16/2000</f>
        <v>0.18026999999999999</v>
      </c>
      <c r="X16" s="91" t="s">
        <v>103</v>
      </c>
      <c r="Y16" s="91">
        <v>8</v>
      </c>
      <c r="Z16" s="89">
        <v>0.18</v>
      </c>
      <c r="AA16" s="90" t="s">
        <v>49</v>
      </c>
      <c r="AB16" s="93" t="s">
        <v>155</v>
      </c>
    </row>
    <row r="17" spans="22:23" ht="13.5" thickBot="1">
      <c r="V17" s="94" t="s">
        <v>124</v>
      </c>
      <c r="W17" s="95">
        <f>SUM(W12:W16)</f>
        <v>179.11244492500003</v>
      </c>
    </row>
    <row r="18" ht="13.5" thickTop="1">
      <c r="W18" s="106"/>
    </row>
    <row r="19" ht="12.75">
      <c r="C19" s="96" t="s">
        <v>125</v>
      </c>
    </row>
    <row r="20" ht="12.75">
      <c r="C20" s="3" t="s">
        <v>126</v>
      </c>
    </row>
    <row r="21" ht="12.75">
      <c r="C21" t="s">
        <v>127</v>
      </c>
    </row>
    <row r="22" ht="12.75">
      <c r="C22" t="s">
        <v>128</v>
      </c>
    </row>
    <row r="24" ht="12.75">
      <c r="C24" t="s">
        <v>156</v>
      </c>
    </row>
    <row r="25" ht="12.75">
      <c r="D25" t="s">
        <v>157</v>
      </c>
    </row>
    <row r="27" ht="12.75">
      <c r="A27" s="96"/>
    </row>
  </sheetData>
  <mergeCells count="24">
    <mergeCell ref="T10:T11"/>
    <mergeCell ref="U10:U11"/>
    <mergeCell ref="A9:A11"/>
    <mergeCell ref="B9:B11"/>
    <mergeCell ref="C9:C11"/>
    <mergeCell ref="D9:D11"/>
    <mergeCell ref="E9:E11"/>
    <mergeCell ref="F9:F11"/>
    <mergeCell ref="G9:G11"/>
    <mergeCell ref="H9:H11"/>
    <mergeCell ref="I9:L10"/>
    <mergeCell ref="M9:P10"/>
    <mergeCell ref="X9:X11"/>
    <mergeCell ref="Y9:Y11"/>
    <mergeCell ref="Q9:Q11"/>
    <mergeCell ref="R9:S9"/>
    <mergeCell ref="T9:U9"/>
    <mergeCell ref="V9:V11"/>
    <mergeCell ref="R10:R11"/>
    <mergeCell ref="S10:S11"/>
    <mergeCell ref="Z9:Z11"/>
    <mergeCell ref="AA9:AA11"/>
    <mergeCell ref="AB9:AB11"/>
    <mergeCell ref="W9:W11"/>
  </mergeCells>
  <printOptions horizontalCentered="1"/>
  <pageMargins left="0.57" right="0.44" top="1.48" bottom="1" header="0.5" footer="0.5"/>
  <pageSetup horizontalDpi="600" verticalDpi="600" orientation="landscape" r:id="rId1"/>
  <headerFooter alignWithMargins="0">
    <oddHeader>&amp;L
Brush Resources Incorporated
Site Name:  Delta Mill
Site ID:  10311&amp;CRegional Haze
2000 Statewide SOx Sources</oddHeader>
    <oddFooter>&amp;R&amp;D
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N46"/>
  <sheetViews>
    <sheetView workbookViewId="0" topLeftCell="A1">
      <selection activeCell="D4" sqref="D4"/>
    </sheetView>
  </sheetViews>
  <sheetFormatPr defaultColWidth="9.140625" defaultRowHeight="12.75"/>
  <cols>
    <col min="1" max="1" width="6.8515625" style="0" customWidth="1"/>
    <col min="2" max="2" width="8.57421875" style="0" customWidth="1"/>
    <col min="3" max="3" width="10.7109375" style="0" customWidth="1"/>
    <col min="4" max="4" width="9.8515625" style="0" customWidth="1"/>
    <col min="5" max="5" width="24.8515625" style="0" customWidth="1"/>
    <col min="6" max="6" width="5.7109375" style="0" customWidth="1"/>
    <col min="7" max="7" width="10.140625" style="0" customWidth="1"/>
    <col min="8" max="8" width="18.7109375" style="0" customWidth="1"/>
    <col min="9" max="9" width="8.57421875" style="0" customWidth="1"/>
    <col min="11" max="11" width="7.57421875" style="0" customWidth="1"/>
    <col min="12" max="12" width="11.7109375" style="0" customWidth="1"/>
    <col min="18" max="18" width="17.00390625" style="0" customWidth="1"/>
    <col min="20" max="20" width="21.57421875" style="0" customWidth="1"/>
    <col min="22" max="22" width="10.57421875" style="0" customWidth="1"/>
    <col min="23" max="24" width="11.7109375" style="0" customWidth="1"/>
    <col min="26" max="26" width="10.7109375" style="0" customWidth="1"/>
    <col min="27" max="27" width="11.7109375" style="0" customWidth="1"/>
    <col min="28" max="28" width="25.7109375" style="0" customWidth="1"/>
  </cols>
  <sheetData>
    <row r="1" spans="1:5" ht="15.75">
      <c r="A1" s="96" t="s">
        <v>158</v>
      </c>
      <c r="B1" s="59"/>
      <c r="E1" s="4" t="s">
        <v>1</v>
      </c>
    </row>
    <row r="2" spans="1:5" ht="15">
      <c r="A2" s="59"/>
      <c r="B2" s="59"/>
      <c r="E2" s="5" t="s">
        <v>95</v>
      </c>
    </row>
    <row r="3" spans="1:2" ht="12.75">
      <c r="A3" s="96" t="s">
        <v>2</v>
      </c>
      <c r="B3" s="96" t="s">
        <v>159</v>
      </c>
    </row>
    <row r="4" spans="1:2" ht="12.75">
      <c r="A4" s="61">
        <v>10119</v>
      </c>
      <c r="B4" s="96" t="s">
        <v>160</v>
      </c>
    </row>
    <row r="5" ht="13.5" thickBot="1">
      <c r="B5" t="s">
        <v>161</v>
      </c>
    </row>
    <row r="6" spans="1:66" ht="16.5" customHeight="1">
      <c r="A6" s="401" t="s">
        <v>5</v>
      </c>
      <c r="B6" s="399" t="s">
        <v>6</v>
      </c>
      <c r="C6" s="399" t="s">
        <v>7</v>
      </c>
      <c r="D6" s="399" t="s">
        <v>8</v>
      </c>
      <c r="E6" s="399" t="s">
        <v>9</v>
      </c>
      <c r="F6" s="399" t="s">
        <v>10</v>
      </c>
      <c r="G6" s="399" t="s">
        <v>11</v>
      </c>
      <c r="H6" s="399" t="s">
        <v>12</v>
      </c>
      <c r="I6" s="426" t="s">
        <v>13</v>
      </c>
      <c r="J6" s="439"/>
      <c r="K6" s="439"/>
      <c r="L6" s="440"/>
      <c r="M6" s="418" t="s">
        <v>14</v>
      </c>
      <c r="N6" s="439"/>
      <c r="O6" s="439"/>
      <c r="P6" s="439"/>
      <c r="Q6" s="399" t="s">
        <v>15</v>
      </c>
      <c r="R6" s="426" t="s">
        <v>16</v>
      </c>
      <c r="S6" s="426"/>
      <c r="T6" s="426" t="s">
        <v>17</v>
      </c>
      <c r="U6" s="426"/>
      <c r="V6" s="399" t="s">
        <v>18</v>
      </c>
      <c r="W6" s="434" t="s">
        <v>99</v>
      </c>
      <c r="X6" s="404" t="s">
        <v>100</v>
      </c>
      <c r="Y6" s="399" t="s">
        <v>21</v>
      </c>
      <c r="Z6" s="399" t="s">
        <v>22</v>
      </c>
      <c r="AA6" s="399" t="s">
        <v>23</v>
      </c>
      <c r="AB6" s="431" t="s">
        <v>24</v>
      </c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</row>
    <row r="7" spans="1:66" s="9" customFormat="1" ht="24.75" customHeight="1">
      <c r="A7" s="427"/>
      <c r="B7" s="429"/>
      <c r="C7" s="429"/>
      <c r="D7" s="429"/>
      <c r="E7" s="429"/>
      <c r="F7" s="429"/>
      <c r="G7" s="429"/>
      <c r="H7" s="429"/>
      <c r="I7" s="429"/>
      <c r="J7" s="429"/>
      <c r="K7" s="429"/>
      <c r="L7" s="441"/>
      <c r="M7" s="419"/>
      <c r="N7" s="429"/>
      <c r="O7" s="429"/>
      <c r="P7" s="429"/>
      <c r="Q7" s="424"/>
      <c r="R7" s="63" t="s">
        <v>29</v>
      </c>
      <c r="S7" s="63" t="s">
        <v>30</v>
      </c>
      <c r="T7" s="63" t="s">
        <v>101</v>
      </c>
      <c r="U7" s="63" t="s">
        <v>30</v>
      </c>
      <c r="V7" s="63"/>
      <c r="W7" s="435"/>
      <c r="X7" s="437"/>
      <c r="Y7" s="63"/>
      <c r="Z7" s="63"/>
      <c r="AA7" s="424"/>
      <c r="AB7" s="432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</row>
    <row r="8" spans="1:66" ht="25.5" customHeight="1" thickBot="1">
      <c r="A8" s="428"/>
      <c r="B8" s="430"/>
      <c r="C8" s="430"/>
      <c r="D8" s="430"/>
      <c r="E8" s="430"/>
      <c r="F8" s="430"/>
      <c r="G8" s="430"/>
      <c r="H8" s="430"/>
      <c r="I8" s="58" t="s">
        <v>32</v>
      </c>
      <c r="J8" s="58" t="s">
        <v>33</v>
      </c>
      <c r="K8" s="58" t="s">
        <v>34</v>
      </c>
      <c r="L8" s="111" t="s">
        <v>26</v>
      </c>
      <c r="M8" s="112" t="s">
        <v>25</v>
      </c>
      <c r="N8" s="58" t="s">
        <v>26</v>
      </c>
      <c r="O8" s="58" t="s">
        <v>27</v>
      </c>
      <c r="P8" s="58" t="s">
        <v>28</v>
      </c>
      <c r="Q8" s="425"/>
      <c r="R8" s="377"/>
      <c r="S8" s="377"/>
      <c r="T8" s="425"/>
      <c r="U8" s="377"/>
      <c r="V8" s="377"/>
      <c r="W8" s="436"/>
      <c r="X8" s="438"/>
      <c r="Y8" s="377"/>
      <c r="Z8" s="377"/>
      <c r="AA8" s="425"/>
      <c r="AB8" s="433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</row>
    <row r="9" spans="1:29" ht="12.75">
      <c r="A9" s="98">
        <v>3</v>
      </c>
      <c r="B9" s="99">
        <v>3874</v>
      </c>
      <c r="C9" s="100" t="s">
        <v>162</v>
      </c>
      <c r="D9" s="101">
        <v>10200701</v>
      </c>
      <c r="E9" s="113" t="s">
        <v>163</v>
      </c>
      <c r="F9" s="101" t="s">
        <v>38</v>
      </c>
      <c r="G9" s="101">
        <v>3084</v>
      </c>
      <c r="H9" s="113" t="s">
        <v>164</v>
      </c>
      <c r="I9" s="113">
        <v>525.2</v>
      </c>
      <c r="J9" s="113" t="s">
        <v>165</v>
      </c>
      <c r="K9" s="99">
        <v>111.6</v>
      </c>
      <c r="L9" s="113" t="s">
        <v>166</v>
      </c>
      <c r="M9" s="99">
        <v>1201</v>
      </c>
      <c r="N9" s="113" t="s">
        <v>167</v>
      </c>
      <c r="O9" s="101">
        <v>0.00036</v>
      </c>
      <c r="P9" s="101" t="s">
        <v>168</v>
      </c>
      <c r="Q9" s="101" t="s">
        <v>168</v>
      </c>
      <c r="R9" s="101" t="s">
        <v>168</v>
      </c>
      <c r="S9" s="101" t="s">
        <v>168</v>
      </c>
      <c r="T9" s="101" t="s">
        <v>168</v>
      </c>
      <c r="U9" s="101" t="s">
        <v>168</v>
      </c>
      <c r="V9" s="101" t="s">
        <v>168</v>
      </c>
      <c r="W9" s="114">
        <f>I9*Z9/2000+0.74</f>
        <v>0.89756</v>
      </c>
      <c r="X9" s="62">
        <v>82.4</v>
      </c>
      <c r="Y9" s="101">
        <v>6</v>
      </c>
      <c r="Z9" s="99">
        <v>0.6</v>
      </c>
      <c r="AA9" s="100" t="s">
        <v>111</v>
      </c>
      <c r="AB9" s="113" t="s">
        <v>168</v>
      </c>
      <c r="AC9" s="115"/>
    </row>
    <row r="10" spans="1:29" ht="12.75">
      <c r="A10" s="83">
        <v>3</v>
      </c>
      <c r="B10" s="84">
        <v>3875</v>
      </c>
      <c r="C10" s="85" t="s">
        <v>162</v>
      </c>
      <c r="D10" s="86">
        <v>10200701</v>
      </c>
      <c r="E10" s="116" t="s">
        <v>163</v>
      </c>
      <c r="F10" s="86" t="s">
        <v>38</v>
      </c>
      <c r="G10" s="86">
        <v>3084</v>
      </c>
      <c r="H10" s="116" t="s">
        <v>169</v>
      </c>
      <c r="I10" s="116">
        <v>425.7</v>
      </c>
      <c r="J10" s="116" t="s">
        <v>170</v>
      </c>
      <c r="K10" s="84">
        <v>111.6</v>
      </c>
      <c r="L10" s="116" t="s">
        <v>166</v>
      </c>
      <c r="M10" s="84">
        <v>6000000</v>
      </c>
      <c r="N10" s="116" t="s">
        <v>171</v>
      </c>
      <c r="O10" s="86">
        <v>0.995</v>
      </c>
      <c r="P10" s="86" t="s">
        <v>168</v>
      </c>
      <c r="Q10" s="86" t="s">
        <v>168</v>
      </c>
      <c r="R10" s="86" t="s">
        <v>168</v>
      </c>
      <c r="S10" s="86" t="s">
        <v>168</v>
      </c>
      <c r="T10" s="86" t="s">
        <v>168</v>
      </c>
      <c r="U10" s="86" t="s">
        <v>168</v>
      </c>
      <c r="V10" s="86" t="s">
        <v>168</v>
      </c>
      <c r="W10" s="117">
        <f>(I10*42*Z10/1000)/2000</f>
        <v>1.3966493309999999</v>
      </c>
      <c r="X10" s="64">
        <v>0</v>
      </c>
      <c r="Y10" s="86">
        <v>8</v>
      </c>
      <c r="Z10" s="84">
        <v>156.23</v>
      </c>
      <c r="AA10" s="85" t="s">
        <v>115</v>
      </c>
      <c r="AB10" s="116" t="s">
        <v>168</v>
      </c>
      <c r="AC10" s="118"/>
    </row>
    <row r="11" spans="1:29" ht="12.75">
      <c r="A11" s="83">
        <v>3</v>
      </c>
      <c r="B11" s="84">
        <v>3876</v>
      </c>
      <c r="C11" s="85" t="s">
        <v>172</v>
      </c>
      <c r="D11" s="86">
        <v>10200701</v>
      </c>
      <c r="E11" s="116" t="s">
        <v>173</v>
      </c>
      <c r="F11" s="86" t="s">
        <v>38</v>
      </c>
      <c r="G11" s="86">
        <v>3085</v>
      </c>
      <c r="H11" s="116" t="s">
        <v>164</v>
      </c>
      <c r="I11" s="116">
        <v>549.8</v>
      </c>
      <c r="J11" s="116" t="s">
        <v>165</v>
      </c>
      <c r="K11" s="84">
        <v>100.8</v>
      </c>
      <c r="L11" s="116" t="s">
        <v>166</v>
      </c>
      <c r="M11" s="84">
        <v>1201</v>
      </c>
      <c r="N11" s="116" t="s">
        <v>167</v>
      </c>
      <c r="O11" s="86">
        <v>0.00036</v>
      </c>
      <c r="P11" s="86" t="s">
        <v>168</v>
      </c>
      <c r="Q11" s="86" t="s">
        <v>168</v>
      </c>
      <c r="R11" s="86" t="s">
        <v>168</v>
      </c>
      <c r="S11" s="86" t="s">
        <v>168</v>
      </c>
      <c r="T11" s="86" t="s">
        <v>168</v>
      </c>
      <c r="U11" s="86" t="s">
        <v>168</v>
      </c>
      <c r="V11" s="86" t="s">
        <v>168</v>
      </c>
      <c r="W11" s="117">
        <f>I11*Z11/2000+0.75</f>
        <v>0.91494</v>
      </c>
      <c r="X11" s="64">
        <v>81.74</v>
      </c>
      <c r="Y11" s="86">
        <v>6</v>
      </c>
      <c r="Z11" s="84">
        <v>0.6</v>
      </c>
      <c r="AA11" s="85" t="s">
        <v>111</v>
      </c>
      <c r="AB11" s="116" t="s">
        <v>168</v>
      </c>
      <c r="AC11" s="118"/>
    </row>
    <row r="12" spans="1:29" ht="12.75">
      <c r="A12" s="83">
        <v>3</v>
      </c>
      <c r="B12" s="84">
        <v>3877</v>
      </c>
      <c r="C12" s="85" t="s">
        <v>172</v>
      </c>
      <c r="D12" s="86">
        <v>10200701</v>
      </c>
      <c r="E12" s="116" t="s">
        <v>173</v>
      </c>
      <c r="F12" s="86" t="s">
        <v>38</v>
      </c>
      <c r="G12" s="86">
        <v>3085</v>
      </c>
      <c r="H12" s="116" t="s">
        <v>169</v>
      </c>
      <c r="I12" s="116">
        <v>425.7</v>
      </c>
      <c r="J12" s="116" t="s">
        <v>170</v>
      </c>
      <c r="K12" s="84">
        <v>100.8</v>
      </c>
      <c r="L12" s="116" t="s">
        <v>166</v>
      </c>
      <c r="M12" s="84">
        <v>6000000</v>
      </c>
      <c r="N12" s="116" t="s">
        <v>171</v>
      </c>
      <c r="O12" s="86">
        <v>0.995</v>
      </c>
      <c r="P12" s="86" t="s">
        <v>168</v>
      </c>
      <c r="Q12" s="86" t="s">
        <v>168</v>
      </c>
      <c r="R12" s="86" t="s">
        <v>168</v>
      </c>
      <c r="S12" s="86" t="s">
        <v>168</v>
      </c>
      <c r="T12" s="86" t="s">
        <v>168</v>
      </c>
      <c r="U12" s="86" t="s">
        <v>168</v>
      </c>
      <c r="V12" s="86" t="s">
        <v>168</v>
      </c>
      <c r="W12" s="117">
        <f>(I12*42*Z12/1000)/2000</f>
        <v>1.3966493309999999</v>
      </c>
      <c r="X12" s="64">
        <v>0</v>
      </c>
      <c r="Y12" s="86">
        <v>8</v>
      </c>
      <c r="Z12" s="84">
        <v>156.23</v>
      </c>
      <c r="AA12" s="85" t="s">
        <v>115</v>
      </c>
      <c r="AB12" s="116" t="s">
        <v>168</v>
      </c>
      <c r="AC12" s="118"/>
    </row>
    <row r="13" spans="1:29" ht="12.75">
      <c r="A13" s="83">
        <v>3</v>
      </c>
      <c r="B13" s="84">
        <v>171147</v>
      </c>
      <c r="C13" s="85">
        <v>32033</v>
      </c>
      <c r="D13" s="86">
        <v>10200701</v>
      </c>
      <c r="E13" s="116" t="s">
        <v>174</v>
      </c>
      <c r="F13" s="86" t="s">
        <v>38</v>
      </c>
      <c r="G13" s="86">
        <v>20421</v>
      </c>
      <c r="H13" s="116" t="s">
        <v>164</v>
      </c>
      <c r="I13" s="116">
        <v>22.1</v>
      </c>
      <c r="J13" s="116" t="s">
        <v>165</v>
      </c>
      <c r="K13" s="84">
        <v>96</v>
      </c>
      <c r="L13" s="116" t="s">
        <v>166</v>
      </c>
      <c r="M13" s="84">
        <v>1201</v>
      </c>
      <c r="N13" s="116" t="s">
        <v>167</v>
      </c>
      <c r="O13" s="86">
        <v>0.00036</v>
      </c>
      <c r="P13" s="86" t="s">
        <v>168</v>
      </c>
      <c r="Q13" s="86" t="s">
        <v>168</v>
      </c>
      <c r="R13" s="86" t="s">
        <v>168</v>
      </c>
      <c r="S13" s="86" t="s">
        <v>168</v>
      </c>
      <c r="T13" s="86" t="s">
        <v>168</v>
      </c>
      <c r="U13" s="86" t="s">
        <v>168</v>
      </c>
      <c r="V13" s="86" t="s">
        <v>168</v>
      </c>
      <c r="W13" s="117">
        <f aca="true" t="shared" si="0" ref="W13:W23">I13*Z13/2000</f>
        <v>0.00663</v>
      </c>
      <c r="X13" s="64">
        <v>0</v>
      </c>
      <c r="Y13" s="86">
        <v>6</v>
      </c>
      <c r="Z13" s="84">
        <v>0.6</v>
      </c>
      <c r="AA13" s="85" t="s">
        <v>111</v>
      </c>
      <c r="AB13" s="116" t="s">
        <v>168</v>
      </c>
      <c r="AC13" s="118"/>
    </row>
    <row r="14" spans="1:29" ht="12.75">
      <c r="A14" s="83">
        <v>3</v>
      </c>
      <c r="B14" s="84">
        <v>3878</v>
      </c>
      <c r="C14" s="85" t="s">
        <v>175</v>
      </c>
      <c r="D14" s="86">
        <v>30600106</v>
      </c>
      <c r="E14" s="116" t="s">
        <v>176</v>
      </c>
      <c r="F14" s="86" t="s">
        <v>52</v>
      </c>
      <c r="G14" s="86">
        <v>3086</v>
      </c>
      <c r="H14" s="116" t="s">
        <v>164</v>
      </c>
      <c r="I14" s="116">
        <v>1009.4</v>
      </c>
      <c r="J14" s="116" t="s">
        <v>165</v>
      </c>
      <c r="K14" s="84">
        <v>159.3</v>
      </c>
      <c r="L14" s="116" t="s">
        <v>166</v>
      </c>
      <c r="M14" s="84">
        <v>1201</v>
      </c>
      <c r="N14" s="116" t="s">
        <v>167</v>
      </c>
      <c r="O14" s="86">
        <v>0.00036</v>
      </c>
      <c r="P14" s="86" t="s">
        <v>168</v>
      </c>
      <c r="Q14" s="86" t="s">
        <v>168</v>
      </c>
      <c r="R14" s="86" t="s">
        <v>168</v>
      </c>
      <c r="S14" s="86" t="s">
        <v>168</v>
      </c>
      <c r="T14" s="86" t="s">
        <v>168</v>
      </c>
      <c r="U14" s="86" t="s">
        <v>168</v>
      </c>
      <c r="V14" s="86" t="s">
        <v>168</v>
      </c>
      <c r="W14" s="117">
        <f t="shared" si="0"/>
        <v>0.30282</v>
      </c>
      <c r="X14" s="64">
        <v>0</v>
      </c>
      <c r="Y14" s="86">
        <v>6</v>
      </c>
      <c r="Z14" s="84">
        <v>0.6</v>
      </c>
      <c r="AA14" s="85" t="s">
        <v>111</v>
      </c>
      <c r="AB14" s="116" t="s">
        <v>168</v>
      </c>
      <c r="AC14" s="118"/>
    </row>
    <row r="15" spans="1:29" ht="12.75">
      <c r="A15" s="83">
        <v>3</v>
      </c>
      <c r="B15" s="84">
        <v>3886</v>
      </c>
      <c r="C15" s="85" t="s">
        <v>177</v>
      </c>
      <c r="D15" s="86">
        <v>30600106</v>
      </c>
      <c r="E15" s="116" t="s">
        <v>178</v>
      </c>
      <c r="F15" s="86" t="s">
        <v>38</v>
      </c>
      <c r="G15" s="86">
        <v>3090</v>
      </c>
      <c r="H15" s="116" t="s">
        <v>164</v>
      </c>
      <c r="I15" s="116">
        <v>76.2</v>
      </c>
      <c r="J15" s="116" t="s">
        <v>165</v>
      </c>
      <c r="K15" s="84">
        <v>50.3</v>
      </c>
      <c r="L15" s="116" t="s">
        <v>166</v>
      </c>
      <c r="M15" s="84">
        <v>1201</v>
      </c>
      <c r="N15" s="116" t="s">
        <v>167</v>
      </c>
      <c r="O15" s="86">
        <v>0.00036</v>
      </c>
      <c r="P15" s="86" t="s">
        <v>168</v>
      </c>
      <c r="Q15" s="86" t="s">
        <v>168</v>
      </c>
      <c r="R15" s="86" t="s">
        <v>168</v>
      </c>
      <c r="S15" s="86" t="s">
        <v>168</v>
      </c>
      <c r="T15" s="86" t="s">
        <v>168</v>
      </c>
      <c r="U15" s="86" t="s">
        <v>168</v>
      </c>
      <c r="V15" s="86" t="s">
        <v>168</v>
      </c>
      <c r="W15" s="117">
        <f t="shared" si="0"/>
        <v>0.02286</v>
      </c>
      <c r="X15" s="64">
        <v>0</v>
      </c>
      <c r="Y15" s="86">
        <v>6</v>
      </c>
      <c r="Z15" s="84">
        <v>0.6</v>
      </c>
      <c r="AA15" s="85" t="s">
        <v>111</v>
      </c>
      <c r="AB15" s="116" t="s">
        <v>168</v>
      </c>
      <c r="AC15" s="118"/>
    </row>
    <row r="16" spans="1:29" ht="12.75">
      <c r="A16" s="83">
        <v>3</v>
      </c>
      <c r="B16" s="84">
        <v>3887</v>
      </c>
      <c r="C16" s="85" t="s">
        <v>179</v>
      </c>
      <c r="D16" s="86">
        <v>30600106</v>
      </c>
      <c r="E16" s="116" t="s">
        <v>180</v>
      </c>
      <c r="F16" s="86" t="s">
        <v>38</v>
      </c>
      <c r="G16" s="86">
        <v>3091</v>
      </c>
      <c r="H16" s="116" t="s">
        <v>164</v>
      </c>
      <c r="I16" s="116">
        <v>130.5</v>
      </c>
      <c r="J16" s="116" t="s">
        <v>165</v>
      </c>
      <c r="K16" s="84">
        <v>50.3</v>
      </c>
      <c r="L16" s="116" t="s">
        <v>166</v>
      </c>
      <c r="M16" s="84">
        <v>1201</v>
      </c>
      <c r="N16" s="116" t="s">
        <v>167</v>
      </c>
      <c r="O16" s="86">
        <v>0.00036</v>
      </c>
      <c r="P16" s="86" t="s">
        <v>168</v>
      </c>
      <c r="Q16" s="86" t="s">
        <v>168</v>
      </c>
      <c r="R16" s="86" t="s">
        <v>168</v>
      </c>
      <c r="S16" s="86" t="s">
        <v>168</v>
      </c>
      <c r="T16" s="86" t="s">
        <v>168</v>
      </c>
      <c r="U16" s="86" t="s">
        <v>168</v>
      </c>
      <c r="V16" s="86" t="s">
        <v>168</v>
      </c>
      <c r="W16" s="117">
        <f t="shared" si="0"/>
        <v>0.03915</v>
      </c>
      <c r="X16" s="64">
        <v>0</v>
      </c>
      <c r="Y16" s="86">
        <v>6</v>
      </c>
      <c r="Z16" s="84">
        <v>0.6</v>
      </c>
      <c r="AA16" s="85" t="s">
        <v>111</v>
      </c>
      <c r="AB16" s="116" t="s">
        <v>168</v>
      </c>
      <c r="AC16" s="118"/>
    </row>
    <row r="17" spans="1:29" ht="12.75">
      <c r="A17" s="83">
        <v>3</v>
      </c>
      <c r="B17" s="84">
        <v>3888</v>
      </c>
      <c r="C17" s="85" t="s">
        <v>181</v>
      </c>
      <c r="D17" s="86">
        <v>30600201</v>
      </c>
      <c r="E17" s="116" t="s">
        <v>182</v>
      </c>
      <c r="F17" s="86" t="s">
        <v>38</v>
      </c>
      <c r="G17" s="86">
        <v>3092</v>
      </c>
      <c r="H17" s="116" t="s">
        <v>164</v>
      </c>
      <c r="I17" s="116">
        <v>8784</v>
      </c>
      <c r="J17" s="116" t="s">
        <v>183</v>
      </c>
      <c r="K17" s="84">
        <v>97.3</v>
      </c>
      <c r="L17" s="116" t="s">
        <v>166</v>
      </c>
      <c r="M17" s="84">
        <v>1201</v>
      </c>
      <c r="N17" s="116" t="s">
        <v>167</v>
      </c>
      <c r="O17" s="86">
        <v>0.00036</v>
      </c>
      <c r="P17" s="86" t="s">
        <v>168</v>
      </c>
      <c r="Q17" s="86" t="s">
        <v>168</v>
      </c>
      <c r="R17" s="86" t="s">
        <v>168</v>
      </c>
      <c r="S17" s="86" t="s">
        <v>168</v>
      </c>
      <c r="T17" s="86" t="s">
        <v>168</v>
      </c>
      <c r="U17" s="86" t="s">
        <v>168</v>
      </c>
      <c r="V17" s="86" t="s">
        <v>168</v>
      </c>
      <c r="W17" s="117">
        <f t="shared" si="0"/>
        <v>685.152</v>
      </c>
      <c r="X17" s="64">
        <v>0</v>
      </c>
      <c r="Y17" s="86">
        <v>4</v>
      </c>
      <c r="Z17" s="84">
        <v>156</v>
      </c>
      <c r="AA17" s="85" t="s">
        <v>49</v>
      </c>
      <c r="AB17" s="116" t="s">
        <v>168</v>
      </c>
      <c r="AC17" s="118"/>
    </row>
    <row r="18" spans="1:29" ht="12.75">
      <c r="A18" s="83">
        <v>3</v>
      </c>
      <c r="B18" s="84">
        <v>3889</v>
      </c>
      <c r="C18" s="85" t="s">
        <v>184</v>
      </c>
      <c r="D18" s="86">
        <v>30600904</v>
      </c>
      <c r="E18" s="116" t="s">
        <v>185</v>
      </c>
      <c r="F18" s="86" t="s">
        <v>38</v>
      </c>
      <c r="G18" s="86">
        <v>3093</v>
      </c>
      <c r="H18" s="116" t="s">
        <v>186</v>
      </c>
      <c r="I18" s="116">
        <v>15800</v>
      </c>
      <c r="J18" s="116" t="s">
        <v>187</v>
      </c>
      <c r="K18" s="84" t="s">
        <v>168</v>
      </c>
      <c r="L18" s="116" t="s">
        <v>168</v>
      </c>
      <c r="M18" s="84" t="s">
        <v>168</v>
      </c>
      <c r="N18" s="116" t="s">
        <v>168</v>
      </c>
      <c r="O18" s="86" t="s">
        <v>168</v>
      </c>
      <c r="P18" s="86" t="s">
        <v>168</v>
      </c>
      <c r="Q18" s="86" t="s">
        <v>168</v>
      </c>
      <c r="R18" s="86" t="s">
        <v>168</v>
      </c>
      <c r="S18" s="86" t="s">
        <v>168</v>
      </c>
      <c r="T18" s="86" t="s">
        <v>168</v>
      </c>
      <c r="U18" s="86" t="s">
        <v>168</v>
      </c>
      <c r="V18" s="86" t="s">
        <v>168</v>
      </c>
      <c r="W18" s="117">
        <f t="shared" si="0"/>
        <v>70.83666666666667</v>
      </c>
      <c r="X18" s="64">
        <v>0</v>
      </c>
      <c r="Y18" s="86">
        <v>8</v>
      </c>
      <c r="Z18" s="117">
        <f>26.9/3</f>
        <v>8.966666666666667</v>
      </c>
      <c r="AA18" s="85" t="s">
        <v>188</v>
      </c>
      <c r="AB18" s="116" t="s">
        <v>189</v>
      </c>
      <c r="AC18" s="118"/>
    </row>
    <row r="19" spans="1:29" ht="12.75">
      <c r="A19" s="83">
        <v>3</v>
      </c>
      <c r="B19" s="84">
        <v>3890</v>
      </c>
      <c r="C19" s="85" t="s">
        <v>190</v>
      </c>
      <c r="D19" s="86">
        <v>30600106</v>
      </c>
      <c r="E19" s="116" t="s">
        <v>191</v>
      </c>
      <c r="F19" s="86" t="s">
        <v>38</v>
      </c>
      <c r="G19" s="86">
        <v>3094</v>
      </c>
      <c r="H19" s="116" t="s">
        <v>164</v>
      </c>
      <c r="I19" s="116">
        <v>163.4</v>
      </c>
      <c r="J19" s="116" t="s">
        <v>165</v>
      </c>
      <c r="K19" s="84">
        <v>43.5</v>
      </c>
      <c r="L19" s="116" t="s">
        <v>166</v>
      </c>
      <c r="M19" s="84">
        <v>1201</v>
      </c>
      <c r="N19" s="116" t="s">
        <v>167</v>
      </c>
      <c r="O19" s="86">
        <v>0.00036</v>
      </c>
      <c r="P19" s="86" t="s">
        <v>168</v>
      </c>
      <c r="Q19" s="86" t="s">
        <v>168</v>
      </c>
      <c r="R19" s="86" t="s">
        <v>168</v>
      </c>
      <c r="S19" s="86" t="s">
        <v>168</v>
      </c>
      <c r="T19" s="86" t="s">
        <v>168</v>
      </c>
      <c r="U19" s="86" t="s">
        <v>168</v>
      </c>
      <c r="V19" s="86" t="s">
        <v>168</v>
      </c>
      <c r="W19" s="117">
        <f t="shared" si="0"/>
        <v>0.04902</v>
      </c>
      <c r="X19" s="64">
        <v>0</v>
      </c>
      <c r="Y19" s="86">
        <v>6</v>
      </c>
      <c r="Z19" s="84">
        <v>0.6</v>
      </c>
      <c r="AA19" s="85" t="s">
        <v>111</v>
      </c>
      <c r="AB19" s="116" t="s">
        <v>168</v>
      </c>
      <c r="AC19" s="118"/>
    </row>
    <row r="20" spans="1:29" ht="12.75">
      <c r="A20" s="83">
        <v>3</v>
      </c>
      <c r="B20" s="84">
        <v>3891</v>
      </c>
      <c r="C20" s="85" t="s">
        <v>192</v>
      </c>
      <c r="D20" s="86">
        <v>30600106</v>
      </c>
      <c r="E20" s="116" t="s">
        <v>193</v>
      </c>
      <c r="F20" s="86" t="s">
        <v>38</v>
      </c>
      <c r="G20" s="86">
        <v>3095</v>
      </c>
      <c r="H20" s="116" t="s">
        <v>164</v>
      </c>
      <c r="I20" s="116">
        <v>229</v>
      </c>
      <c r="J20" s="116" t="s">
        <v>165</v>
      </c>
      <c r="K20" s="84">
        <v>52.3</v>
      </c>
      <c r="L20" s="116" t="s">
        <v>166</v>
      </c>
      <c r="M20" s="84">
        <v>1201</v>
      </c>
      <c r="N20" s="116" t="s">
        <v>167</v>
      </c>
      <c r="O20" s="86">
        <v>0.00036</v>
      </c>
      <c r="P20" s="86" t="s">
        <v>168</v>
      </c>
      <c r="Q20" s="86" t="s">
        <v>168</v>
      </c>
      <c r="R20" s="86" t="s">
        <v>168</v>
      </c>
      <c r="S20" s="86" t="s">
        <v>168</v>
      </c>
      <c r="T20" s="86" t="s">
        <v>168</v>
      </c>
      <c r="U20" s="86" t="s">
        <v>168</v>
      </c>
      <c r="V20" s="86" t="s">
        <v>168</v>
      </c>
      <c r="W20" s="117">
        <f t="shared" si="0"/>
        <v>0.0687</v>
      </c>
      <c r="X20" s="64">
        <v>0</v>
      </c>
      <c r="Y20" s="86">
        <v>6</v>
      </c>
      <c r="Z20" s="84">
        <v>0.6</v>
      </c>
      <c r="AA20" s="85" t="s">
        <v>111</v>
      </c>
      <c r="AB20" s="116" t="s">
        <v>168</v>
      </c>
      <c r="AC20" s="118"/>
    </row>
    <row r="21" spans="1:29" ht="12.75">
      <c r="A21" s="83">
        <v>3</v>
      </c>
      <c r="B21" s="84">
        <v>3892</v>
      </c>
      <c r="C21" s="85" t="s">
        <v>194</v>
      </c>
      <c r="D21" s="86">
        <v>30600106</v>
      </c>
      <c r="E21" s="116" t="s">
        <v>195</v>
      </c>
      <c r="F21" s="86" t="s">
        <v>38</v>
      </c>
      <c r="G21" s="86">
        <v>3096</v>
      </c>
      <c r="H21" s="116" t="s">
        <v>164</v>
      </c>
      <c r="I21" s="116">
        <v>185.1</v>
      </c>
      <c r="J21" s="116" t="s">
        <v>165</v>
      </c>
      <c r="K21" s="84">
        <v>45</v>
      </c>
      <c r="L21" s="116" t="s">
        <v>166</v>
      </c>
      <c r="M21" s="84">
        <v>1201</v>
      </c>
      <c r="N21" s="116" t="s">
        <v>167</v>
      </c>
      <c r="O21" s="86">
        <v>0.00036</v>
      </c>
      <c r="P21" s="86" t="s">
        <v>168</v>
      </c>
      <c r="Q21" s="86" t="s">
        <v>168</v>
      </c>
      <c r="R21" s="86" t="s">
        <v>168</v>
      </c>
      <c r="S21" s="86" t="s">
        <v>168</v>
      </c>
      <c r="T21" s="86" t="s">
        <v>168</v>
      </c>
      <c r="U21" s="86" t="s">
        <v>168</v>
      </c>
      <c r="V21" s="86" t="s">
        <v>168</v>
      </c>
      <c r="W21" s="117">
        <f t="shared" si="0"/>
        <v>0.055529999999999996</v>
      </c>
      <c r="X21" s="64">
        <v>0</v>
      </c>
      <c r="Y21" s="86">
        <v>6</v>
      </c>
      <c r="Z21" s="84">
        <v>0.6</v>
      </c>
      <c r="AA21" s="85" t="s">
        <v>111</v>
      </c>
      <c r="AB21" s="116" t="s">
        <v>168</v>
      </c>
      <c r="AC21" s="118"/>
    </row>
    <row r="22" spans="1:29" ht="12.75">
      <c r="A22" s="83">
        <v>3</v>
      </c>
      <c r="B22" s="84">
        <v>3893</v>
      </c>
      <c r="C22" s="85" t="s">
        <v>196</v>
      </c>
      <c r="D22" s="86">
        <v>30600106</v>
      </c>
      <c r="E22" s="116" t="s">
        <v>197</v>
      </c>
      <c r="F22" s="86" t="s">
        <v>38</v>
      </c>
      <c r="G22" s="86">
        <v>3097</v>
      </c>
      <c r="H22" s="116" t="s">
        <v>164</v>
      </c>
      <c r="I22" s="116">
        <v>141.1</v>
      </c>
      <c r="J22" s="116" t="s">
        <v>165</v>
      </c>
      <c r="K22" s="84">
        <v>31.7</v>
      </c>
      <c r="L22" s="116" t="s">
        <v>166</v>
      </c>
      <c r="M22" s="84">
        <v>1201</v>
      </c>
      <c r="N22" s="116" t="s">
        <v>167</v>
      </c>
      <c r="O22" s="86">
        <v>0.00036</v>
      </c>
      <c r="P22" s="86" t="s">
        <v>168</v>
      </c>
      <c r="Q22" s="86" t="s">
        <v>168</v>
      </c>
      <c r="R22" s="86" t="s">
        <v>168</v>
      </c>
      <c r="S22" s="86" t="s">
        <v>168</v>
      </c>
      <c r="T22" s="86" t="s">
        <v>168</v>
      </c>
      <c r="U22" s="86" t="s">
        <v>168</v>
      </c>
      <c r="V22" s="86" t="s">
        <v>168</v>
      </c>
      <c r="W22" s="117">
        <f t="shared" si="0"/>
        <v>0.04233</v>
      </c>
      <c r="X22" s="64">
        <v>0</v>
      </c>
      <c r="Y22" s="86">
        <v>6</v>
      </c>
      <c r="Z22" s="84">
        <v>0.6</v>
      </c>
      <c r="AA22" s="85" t="s">
        <v>111</v>
      </c>
      <c r="AB22" s="116" t="s">
        <v>168</v>
      </c>
      <c r="AC22" s="118"/>
    </row>
    <row r="23" spans="1:29" ht="12.75">
      <c r="A23" s="83">
        <v>3</v>
      </c>
      <c r="B23" s="84">
        <v>3894</v>
      </c>
      <c r="C23" s="85" t="s">
        <v>198</v>
      </c>
      <c r="D23" s="86">
        <v>30600106</v>
      </c>
      <c r="E23" s="116" t="s">
        <v>199</v>
      </c>
      <c r="F23" s="86" t="s">
        <v>38</v>
      </c>
      <c r="G23" s="86">
        <v>3098</v>
      </c>
      <c r="H23" s="116" t="s">
        <v>164</v>
      </c>
      <c r="I23" s="116">
        <v>437.7</v>
      </c>
      <c r="J23" s="116" t="s">
        <v>165</v>
      </c>
      <c r="K23" s="84">
        <v>90</v>
      </c>
      <c r="L23" s="116" t="s">
        <v>166</v>
      </c>
      <c r="M23" s="84">
        <v>1201</v>
      </c>
      <c r="N23" s="116" t="s">
        <v>167</v>
      </c>
      <c r="O23" s="86">
        <v>0.00036</v>
      </c>
      <c r="P23" s="86" t="s">
        <v>168</v>
      </c>
      <c r="Q23" s="86" t="s">
        <v>168</v>
      </c>
      <c r="R23" s="86" t="s">
        <v>168</v>
      </c>
      <c r="S23" s="86" t="s">
        <v>168</v>
      </c>
      <c r="T23" s="86" t="s">
        <v>168</v>
      </c>
      <c r="U23" s="86" t="s">
        <v>168</v>
      </c>
      <c r="V23" s="86" t="s">
        <v>168</v>
      </c>
      <c r="W23" s="117">
        <f t="shared" si="0"/>
        <v>0.13131</v>
      </c>
      <c r="X23" s="64">
        <v>0</v>
      </c>
      <c r="Y23" s="86">
        <v>6</v>
      </c>
      <c r="Z23" s="84">
        <v>0.6</v>
      </c>
      <c r="AA23" s="85" t="s">
        <v>111</v>
      </c>
      <c r="AB23" s="116" t="s">
        <v>168</v>
      </c>
      <c r="AC23" s="118"/>
    </row>
    <row r="24" spans="1:29" ht="12.75">
      <c r="A24" s="83">
        <v>3</v>
      </c>
      <c r="B24" s="84">
        <v>3895</v>
      </c>
      <c r="C24" s="85" t="s">
        <v>198</v>
      </c>
      <c r="D24" s="86">
        <v>30600106</v>
      </c>
      <c r="E24" s="116" t="s">
        <v>199</v>
      </c>
      <c r="F24" s="86" t="s">
        <v>38</v>
      </c>
      <c r="G24" s="86">
        <v>3098</v>
      </c>
      <c r="H24" s="116" t="s">
        <v>200</v>
      </c>
      <c r="I24" s="116">
        <v>205350</v>
      </c>
      <c r="J24" s="116" t="s">
        <v>201</v>
      </c>
      <c r="K24" s="84">
        <v>90</v>
      </c>
      <c r="L24" s="116" t="s">
        <v>166</v>
      </c>
      <c r="M24" s="84">
        <v>6000000</v>
      </c>
      <c r="N24" s="116" t="s">
        <v>171</v>
      </c>
      <c r="O24" s="86">
        <v>0.00065</v>
      </c>
      <c r="P24" s="86" t="s">
        <v>168</v>
      </c>
      <c r="Q24" s="86" t="s">
        <v>168</v>
      </c>
      <c r="R24" s="86" t="s">
        <v>168</v>
      </c>
      <c r="S24" s="86" t="s">
        <v>168</v>
      </c>
      <c r="T24" s="86" t="s">
        <v>168</v>
      </c>
      <c r="U24" s="86" t="s">
        <v>168</v>
      </c>
      <c r="V24" s="86" t="s">
        <v>168</v>
      </c>
      <c r="W24" s="117">
        <f>((I24/8.3454)/1000*Z24)/2000</f>
        <v>0.001230318498813718</v>
      </c>
      <c r="X24" s="64">
        <v>0</v>
      </c>
      <c r="Y24" s="86">
        <v>8</v>
      </c>
      <c r="Z24" s="84">
        <v>0.1</v>
      </c>
      <c r="AA24" s="85" t="s">
        <v>115</v>
      </c>
      <c r="AB24" s="116" t="s">
        <v>168</v>
      </c>
      <c r="AC24" s="118"/>
    </row>
    <row r="25" spans="1:29" ht="12.75">
      <c r="A25" s="83">
        <v>3</v>
      </c>
      <c r="B25" s="84">
        <v>3896</v>
      </c>
      <c r="C25" s="85" t="s">
        <v>202</v>
      </c>
      <c r="D25" s="86">
        <v>30600904</v>
      </c>
      <c r="E25" s="116" t="s">
        <v>203</v>
      </c>
      <c r="F25" s="86" t="s">
        <v>38</v>
      </c>
      <c r="G25" s="86">
        <v>3099</v>
      </c>
      <c r="H25" s="116" t="s">
        <v>186</v>
      </c>
      <c r="I25" s="116">
        <v>15800</v>
      </c>
      <c r="J25" s="116" t="s">
        <v>187</v>
      </c>
      <c r="K25" s="84" t="s">
        <v>168</v>
      </c>
      <c r="L25" s="116" t="s">
        <v>168</v>
      </c>
      <c r="M25" s="84" t="s">
        <v>168</v>
      </c>
      <c r="N25" s="116" t="s">
        <v>168</v>
      </c>
      <c r="O25" s="86" t="s">
        <v>168</v>
      </c>
      <c r="P25" s="86" t="s">
        <v>168</v>
      </c>
      <c r="Q25" s="86" t="s">
        <v>168</v>
      </c>
      <c r="R25" s="86" t="s">
        <v>168</v>
      </c>
      <c r="S25" s="86" t="s">
        <v>168</v>
      </c>
      <c r="T25" s="86" t="s">
        <v>168</v>
      </c>
      <c r="U25" s="86" t="s">
        <v>168</v>
      </c>
      <c r="V25" s="86" t="s">
        <v>168</v>
      </c>
      <c r="W25" s="117">
        <f>I25*Z25/2000</f>
        <v>70.83666666666667</v>
      </c>
      <c r="X25" s="64">
        <v>0</v>
      </c>
      <c r="Y25" s="86">
        <v>8</v>
      </c>
      <c r="Z25" s="117">
        <f>26.9/3</f>
        <v>8.966666666666667</v>
      </c>
      <c r="AA25" s="85" t="s">
        <v>188</v>
      </c>
      <c r="AB25" s="116" t="s">
        <v>189</v>
      </c>
      <c r="AC25" s="118"/>
    </row>
    <row r="26" spans="1:29" ht="12.75">
      <c r="A26" s="83">
        <v>3</v>
      </c>
      <c r="B26" s="84">
        <v>3897</v>
      </c>
      <c r="C26" s="85" t="s">
        <v>204</v>
      </c>
      <c r="D26" s="86">
        <v>30600106</v>
      </c>
      <c r="E26" s="116" t="s">
        <v>205</v>
      </c>
      <c r="F26" s="86" t="s">
        <v>38</v>
      </c>
      <c r="G26" s="86">
        <v>3100</v>
      </c>
      <c r="H26" s="116" t="s">
        <v>164</v>
      </c>
      <c r="I26" s="116">
        <v>298.4</v>
      </c>
      <c r="J26" s="116" t="s">
        <v>165</v>
      </c>
      <c r="K26" s="84">
        <v>71.1</v>
      </c>
      <c r="L26" s="116" t="s">
        <v>166</v>
      </c>
      <c r="M26" s="84">
        <v>1201</v>
      </c>
      <c r="N26" s="116" t="s">
        <v>167</v>
      </c>
      <c r="O26" s="86">
        <v>0.00036</v>
      </c>
      <c r="P26" s="86" t="s">
        <v>168</v>
      </c>
      <c r="Q26" s="86" t="s">
        <v>168</v>
      </c>
      <c r="R26" s="86" t="s">
        <v>168</v>
      </c>
      <c r="S26" s="86" t="s">
        <v>168</v>
      </c>
      <c r="T26" s="86" t="s">
        <v>168</v>
      </c>
      <c r="U26" s="86" t="s">
        <v>168</v>
      </c>
      <c r="V26" s="86" t="s">
        <v>168</v>
      </c>
      <c r="W26" s="117">
        <f>I26*Z26/2000</f>
        <v>0.08952</v>
      </c>
      <c r="X26" s="64">
        <v>0</v>
      </c>
      <c r="Y26" s="86">
        <v>6</v>
      </c>
      <c r="Z26" s="117">
        <v>0.6</v>
      </c>
      <c r="AA26" s="85" t="s">
        <v>111</v>
      </c>
      <c r="AB26" s="116" t="s">
        <v>168</v>
      </c>
      <c r="AC26" s="118"/>
    </row>
    <row r="27" spans="1:29" ht="12.75">
      <c r="A27" s="83">
        <v>3</v>
      </c>
      <c r="B27" s="84">
        <v>3898</v>
      </c>
      <c r="C27" s="85" t="s">
        <v>206</v>
      </c>
      <c r="D27" s="86">
        <v>30600904</v>
      </c>
      <c r="E27" s="116" t="s">
        <v>207</v>
      </c>
      <c r="F27" s="86" t="s">
        <v>38</v>
      </c>
      <c r="G27" s="86">
        <v>3101</v>
      </c>
      <c r="H27" s="116" t="s">
        <v>186</v>
      </c>
      <c r="I27" s="116">
        <v>15800</v>
      </c>
      <c r="J27" s="116" t="s">
        <v>187</v>
      </c>
      <c r="K27" s="84" t="s">
        <v>168</v>
      </c>
      <c r="L27" s="116" t="s">
        <v>168</v>
      </c>
      <c r="M27" s="84" t="s">
        <v>168</v>
      </c>
      <c r="N27" s="116" t="s">
        <v>168</v>
      </c>
      <c r="O27" s="86" t="s">
        <v>168</v>
      </c>
      <c r="P27" s="86" t="s">
        <v>168</v>
      </c>
      <c r="Q27" s="86" t="s">
        <v>168</v>
      </c>
      <c r="R27" s="86" t="s">
        <v>168</v>
      </c>
      <c r="S27" s="86" t="s">
        <v>168</v>
      </c>
      <c r="T27" s="86" t="s">
        <v>168</v>
      </c>
      <c r="U27" s="86" t="s">
        <v>168</v>
      </c>
      <c r="V27" s="86" t="s">
        <v>168</v>
      </c>
      <c r="W27" s="117">
        <f>I27*Z27/2000</f>
        <v>70.83666666666667</v>
      </c>
      <c r="X27" s="64">
        <v>0</v>
      </c>
      <c r="Y27" s="86">
        <v>8</v>
      </c>
      <c r="Z27" s="117">
        <f>26.9/3</f>
        <v>8.966666666666667</v>
      </c>
      <c r="AA27" s="85" t="s">
        <v>188</v>
      </c>
      <c r="AB27" s="116" t="s">
        <v>189</v>
      </c>
      <c r="AC27" s="118"/>
    </row>
    <row r="28" spans="1:29" ht="12.75">
      <c r="A28" s="83">
        <v>3</v>
      </c>
      <c r="B28" s="84">
        <v>3899</v>
      </c>
      <c r="C28" s="85" t="s">
        <v>208</v>
      </c>
      <c r="D28" s="86">
        <v>30600106</v>
      </c>
      <c r="E28" s="116" t="s">
        <v>209</v>
      </c>
      <c r="F28" s="86" t="s">
        <v>52</v>
      </c>
      <c r="G28" s="86">
        <v>3103</v>
      </c>
      <c r="H28" s="116" t="s">
        <v>164</v>
      </c>
      <c r="I28" s="116">
        <v>75</v>
      </c>
      <c r="J28" s="116" t="s">
        <v>165</v>
      </c>
      <c r="K28" s="84">
        <v>13.8</v>
      </c>
      <c r="L28" s="116" t="s">
        <v>166</v>
      </c>
      <c r="M28" s="84">
        <v>1201</v>
      </c>
      <c r="N28" s="116" t="s">
        <v>167</v>
      </c>
      <c r="O28" s="86">
        <v>0.00036</v>
      </c>
      <c r="P28" s="86" t="s">
        <v>168</v>
      </c>
      <c r="Q28" s="86" t="s">
        <v>168</v>
      </c>
      <c r="R28" s="86" t="s">
        <v>168</v>
      </c>
      <c r="S28" s="86" t="s">
        <v>168</v>
      </c>
      <c r="T28" s="86" t="s">
        <v>168</v>
      </c>
      <c r="U28" s="86" t="s">
        <v>168</v>
      </c>
      <c r="V28" s="86" t="s">
        <v>168</v>
      </c>
      <c r="W28" s="117">
        <f>I28*Z29/2000</f>
        <v>0.0225</v>
      </c>
      <c r="X28" s="64">
        <v>0</v>
      </c>
      <c r="Y28" s="86">
        <v>6</v>
      </c>
      <c r="Z28" s="84">
        <v>0.6</v>
      </c>
      <c r="AA28" s="85" t="s">
        <v>111</v>
      </c>
      <c r="AB28" s="116" t="s">
        <v>168</v>
      </c>
      <c r="AC28" s="118"/>
    </row>
    <row r="29" spans="1:29" ht="12.75">
      <c r="A29" s="83">
        <v>3</v>
      </c>
      <c r="B29" s="84">
        <v>4333</v>
      </c>
      <c r="C29" s="85" t="s">
        <v>210</v>
      </c>
      <c r="D29" s="86">
        <v>30600106</v>
      </c>
      <c r="E29" s="116" t="s">
        <v>211</v>
      </c>
      <c r="F29" s="86" t="s">
        <v>52</v>
      </c>
      <c r="G29" s="86">
        <v>3103</v>
      </c>
      <c r="H29" s="116" t="s">
        <v>164</v>
      </c>
      <c r="I29" s="116">
        <v>115.9</v>
      </c>
      <c r="J29" s="116" t="s">
        <v>165</v>
      </c>
      <c r="K29" s="84">
        <v>20.6</v>
      </c>
      <c r="L29" s="116" t="s">
        <v>166</v>
      </c>
      <c r="M29" s="84">
        <v>1201</v>
      </c>
      <c r="N29" s="116" t="s">
        <v>167</v>
      </c>
      <c r="O29" s="86">
        <v>0.00036</v>
      </c>
      <c r="P29" s="86" t="s">
        <v>168</v>
      </c>
      <c r="Q29" s="86" t="s">
        <v>168</v>
      </c>
      <c r="R29" s="86" t="s">
        <v>168</v>
      </c>
      <c r="S29" s="86" t="s">
        <v>168</v>
      </c>
      <c r="T29" s="86" t="s">
        <v>168</v>
      </c>
      <c r="U29" s="86" t="s">
        <v>168</v>
      </c>
      <c r="V29" s="86" t="s">
        <v>168</v>
      </c>
      <c r="W29" s="117">
        <f>I29*Z29/2000</f>
        <v>0.03477</v>
      </c>
      <c r="X29" s="64">
        <v>0</v>
      </c>
      <c r="Y29" s="86">
        <v>6</v>
      </c>
      <c r="Z29" s="84">
        <v>0.6</v>
      </c>
      <c r="AA29" s="85" t="s">
        <v>111</v>
      </c>
      <c r="AB29" s="116" t="s">
        <v>168</v>
      </c>
      <c r="AC29" s="118"/>
    </row>
    <row r="30" spans="1:29" ht="12.75">
      <c r="A30" s="83">
        <v>3</v>
      </c>
      <c r="B30" s="84">
        <v>4334</v>
      </c>
      <c r="C30" s="85" t="s">
        <v>212</v>
      </c>
      <c r="D30" s="86">
        <v>30609904</v>
      </c>
      <c r="E30" s="116" t="s">
        <v>44</v>
      </c>
      <c r="F30" s="86" t="s">
        <v>38</v>
      </c>
      <c r="G30" s="86">
        <v>3104</v>
      </c>
      <c r="H30" s="116" t="s">
        <v>164</v>
      </c>
      <c r="I30" s="116">
        <v>15.2</v>
      </c>
      <c r="J30" s="116" t="s">
        <v>165</v>
      </c>
      <c r="K30" s="84">
        <v>4.5</v>
      </c>
      <c r="L30" s="116" t="s">
        <v>166</v>
      </c>
      <c r="M30" s="84">
        <v>1201</v>
      </c>
      <c r="N30" s="116" t="s">
        <v>167</v>
      </c>
      <c r="O30" s="86">
        <v>0.00036</v>
      </c>
      <c r="P30" s="86" t="s">
        <v>168</v>
      </c>
      <c r="Q30" s="86" t="s">
        <v>168</v>
      </c>
      <c r="R30" s="86" t="s">
        <v>44</v>
      </c>
      <c r="S30" s="86">
        <v>45</v>
      </c>
      <c r="T30" s="86" t="s">
        <v>213</v>
      </c>
      <c r="U30" s="86">
        <v>21</v>
      </c>
      <c r="V30" s="86" t="s">
        <v>168</v>
      </c>
      <c r="W30" s="117">
        <v>341.18</v>
      </c>
      <c r="X30" s="64">
        <v>0.41</v>
      </c>
      <c r="Y30" s="86">
        <v>1</v>
      </c>
      <c r="Z30" s="84" t="s">
        <v>214</v>
      </c>
      <c r="AA30" s="85" t="s">
        <v>215</v>
      </c>
      <c r="AB30" s="116" t="s">
        <v>168</v>
      </c>
      <c r="AC30" s="118"/>
    </row>
    <row r="31" spans="1:29" ht="12.75">
      <c r="A31" s="83" t="s">
        <v>120</v>
      </c>
      <c r="B31" s="84">
        <v>5479</v>
      </c>
      <c r="C31" s="85">
        <v>10</v>
      </c>
      <c r="D31" s="86">
        <v>20200202</v>
      </c>
      <c r="E31" s="116" t="s">
        <v>216</v>
      </c>
      <c r="F31" s="86" t="s">
        <v>168</v>
      </c>
      <c r="G31" s="86" t="s">
        <v>168</v>
      </c>
      <c r="H31" s="116" t="s">
        <v>109</v>
      </c>
      <c r="I31" s="116">
        <v>89</v>
      </c>
      <c r="J31" s="116" t="s">
        <v>165</v>
      </c>
      <c r="K31" s="84" t="s">
        <v>168</v>
      </c>
      <c r="L31" s="116" t="s">
        <v>168</v>
      </c>
      <c r="M31" s="84">
        <v>1045</v>
      </c>
      <c r="N31" s="116" t="s">
        <v>167</v>
      </c>
      <c r="O31" s="86">
        <v>0.0023</v>
      </c>
      <c r="P31" s="86" t="s">
        <v>168</v>
      </c>
      <c r="Q31" s="86" t="s">
        <v>168</v>
      </c>
      <c r="R31" s="86" t="s">
        <v>168</v>
      </c>
      <c r="S31" s="86" t="s">
        <v>168</v>
      </c>
      <c r="T31" s="86" t="s">
        <v>168</v>
      </c>
      <c r="U31" s="86" t="s">
        <v>168</v>
      </c>
      <c r="V31" s="86" t="s">
        <v>168</v>
      </c>
      <c r="W31" s="117">
        <f>I31*Z31/2000</f>
        <v>0.08518635</v>
      </c>
      <c r="X31" s="64">
        <v>0</v>
      </c>
      <c r="Y31" s="86">
        <v>6</v>
      </c>
      <c r="Z31" s="84">
        <v>1.9143</v>
      </c>
      <c r="AA31" s="85" t="s">
        <v>111</v>
      </c>
      <c r="AB31" s="116" t="s">
        <v>168</v>
      </c>
      <c r="AC31" s="118"/>
    </row>
    <row r="32" spans="1:29" ht="13.5" thickBot="1">
      <c r="A32" s="88" t="s">
        <v>120</v>
      </c>
      <c r="B32" s="89">
        <v>22552</v>
      </c>
      <c r="C32" s="90"/>
      <c r="D32" s="91">
        <v>20200102</v>
      </c>
      <c r="E32" s="119" t="s">
        <v>217</v>
      </c>
      <c r="F32" s="91" t="s">
        <v>168</v>
      </c>
      <c r="G32" s="91" t="s">
        <v>168</v>
      </c>
      <c r="H32" s="119" t="s">
        <v>218</v>
      </c>
      <c r="I32" s="119">
        <v>48995</v>
      </c>
      <c r="J32" s="119" t="s">
        <v>122</v>
      </c>
      <c r="K32" s="89" t="s">
        <v>168</v>
      </c>
      <c r="L32" s="119" t="s">
        <v>168</v>
      </c>
      <c r="M32" s="89">
        <v>137069</v>
      </c>
      <c r="N32" s="119" t="s">
        <v>219</v>
      </c>
      <c r="O32" s="91">
        <v>0.27</v>
      </c>
      <c r="P32" s="91" t="s">
        <v>168</v>
      </c>
      <c r="Q32" s="91" t="s">
        <v>168</v>
      </c>
      <c r="R32" s="91" t="s">
        <v>168</v>
      </c>
      <c r="S32" s="91" t="s">
        <v>168</v>
      </c>
      <c r="T32" s="91" t="s">
        <v>168</v>
      </c>
      <c r="U32" s="91" t="s">
        <v>168</v>
      </c>
      <c r="V32" s="120" t="s">
        <v>168</v>
      </c>
      <c r="W32" s="121">
        <f>I32*(M32/1000000)*Z32/2000</f>
        <v>0.13229920440349996</v>
      </c>
      <c r="X32" s="97">
        <v>0</v>
      </c>
      <c r="Y32" s="91">
        <v>6</v>
      </c>
      <c r="Z32" s="89">
        <v>0.0394</v>
      </c>
      <c r="AA32" s="90" t="s">
        <v>220</v>
      </c>
      <c r="AB32" s="119" t="s">
        <v>168</v>
      </c>
      <c r="AC32" s="122"/>
    </row>
    <row r="33" spans="22:23" ht="13.5" thickBot="1">
      <c r="V33" s="123" t="s">
        <v>124</v>
      </c>
      <c r="W33" s="124">
        <f>SUM(W9:W32)</f>
        <v>1244.5316545349026</v>
      </c>
    </row>
    <row r="34" ht="13.5" thickTop="1">
      <c r="C34" s="96" t="s">
        <v>221</v>
      </c>
    </row>
    <row r="35" ht="12.75">
      <c r="C35" s="3" t="s">
        <v>126</v>
      </c>
    </row>
    <row r="36" ht="12.75">
      <c r="C36" t="s">
        <v>127</v>
      </c>
    </row>
    <row r="37" ht="12.75">
      <c r="C37" t="s">
        <v>128</v>
      </c>
    </row>
    <row r="38" ht="12.75">
      <c r="C38" t="s">
        <v>222</v>
      </c>
    </row>
    <row r="39" ht="12.75">
      <c r="C39" t="s">
        <v>223</v>
      </c>
    </row>
    <row r="40" ht="12.75">
      <c r="C40" t="s">
        <v>224</v>
      </c>
    </row>
    <row r="41" ht="12.75">
      <c r="C41" t="s">
        <v>225</v>
      </c>
    </row>
    <row r="42" ht="12.75">
      <c r="C42" t="s">
        <v>226</v>
      </c>
    </row>
    <row r="43" ht="12.75">
      <c r="C43" t="s">
        <v>227</v>
      </c>
    </row>
    <row r="45" ht="12.75">
      <c r="C45" t="s">
        <v>156</v>
      </c>
    </row>
    <row r="46" ht="12.75">
      <c r="D46" t="s">
        <v>228</v>
      </c>
    </row>
  </sheetData>
  <mergeCells count="24">
    <mergeCell ref="M6:P7"/>
    <mergeCell ref="E6:E8"/>
    <mergeCell ref="F6:F8"/>
    <mergeCell ref="G6:G8"/>
    <mergeCell ref="H6:H8"/>
    <mergeCell ref="I6:L7"/>
    <mergeCell ref="AB6:AB8"/>
    <mergeCell ref="W6:W8"/>
    <mergeCell ref="X6:X8"/>
    <mergeCell ref="Y6:Y8"/>
    <mergeCell ref="Z6:Z8"/>
    <mergeCell ref="AA6:AA8"/>
    <mergeCell ref="A6:A8"/>
    <mergeCell ref="B6:B8"/>
    <mergeCell ref="C6:C8"/>
    <mergeCell ref="D6:D8"/>
    <mergeCell ref="Q6:Q8"/>
    <mergeCell ref="R6:S6"/>
    <mergeCell ref="T6:U6"/>
    <mergeCell ref="V6:V8"/>
    <mergeCell ref="R7:R8"/>
    <mergeCell ref="S7:S8"/>
    <mergeCell ref="T7:T8"/>
    <mergeCell ref="U7:U8"/>
  </mergeCells>
  <printOptions horizontalCentered="1"/>
  <pageMargins left="0.22" right="0.22" top="1" bottom="0.51" header="0.18" footer="0.17"/>
  <pageSetup horizontalDpi="600" verticalDpi="600" orientation="landscape" pageOrder="overThenDown" r:id="rId1"/>
  <headerFooter alignWithMargins="0">
    <oddHeader>&amp;L
Chevron Products Co.
Site Name:  Salt Lake Refinery
Site ID:  10119&amp;CRegional Haze
2000 Statewide SOx Sources</oddHeader>
    <oddFooter>&amp;R&amp;D
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M39"/>
  <sheetViews>
    <sheetView workbookViewId="0" topLeftCell="A1">
      <selection activeCell="A1" sqref="A1"/>
    </sheetView>
  </sheetViews>
  <sheetFormatPr defaultColWidth="9.140625" defaultRowHeight="12.75"/>
  <cols>
    <col min="1" max="2" width="8.140625" style="0" customWidth="1"/>
    <col min="3" max="3" width="8.00390625" style="0" customWidth="1"/>
    <col min="4" max="4" width="10.7109375" style="0" customWidth="1"/>
    <col min="5" max="5" width="30.8515625" style="0" customWidth="1"/>
    <col min="6" max="6" width="5.8515625" style="0" customWidth="1"/>
    <col min="7" max="7" width="10.57421875" style="0" customWidth="1"/>
    <col min="8" max="8" width="10.8515625" style="0" customWidth="1"/>
    <col min="9" max="9" width="8.140625" style="0" customWidth="1"/>
    <col min="10" max="10" width="8.28125" style="0" customWidth="1"/>
    <col min="11" max="11" width="7.140625" style="0" customWidth="1"/>
    <col min="13" max="13" width="8.140625" style="0" customWidth="1"/>
    <col min="20" max="20" width="10.421875" style="0" customWidth="1"/>
    <col min="22" max="22" width="9.8515625" style="0" customWidth="1"/>
    <col min="23" max="23" width="10.140625" style="0" customWidth="1"/>
    <col min="24" max="24" width="11.421875" style="0" customWidth="1"/>
    <col min="28" max="28" width="10.421875" style="0" customWidth="1"/>
  </cols>
  <sheetData>
    <row r="1" spans="1:23" ht="15.75">
      <c r="A1" s="59" t="s">
        <v>229</v>
      </c>
      <c r="B1" s="59"/>
      <c r="C1" s="125" t="s">
        <v>230</v>
      </c>
      <c r="E1" s="4" t="s">
        <v>1</v>
      </c>
      <c r="W1" s="126"/>
    </row>
    <row r="2" spans="1:23" ht="15">
      <c r="A2" s="59"/>
      <c r="B2" s="59"/>
      <c r="E2" s="5" t="s">
        <v>95</v>
      </c>
      <c r="W2" s="126"/>
    </row>
    <row r="3" spans="1:23" ht="12.75">
      <c r="A3" s="59" t="s">
        <v>2</v>
      </c>
      <c r="B3" s="59" t="s">
        <v>3</v>
      </c>
      <c r="C3" s="125" t="s">
        <v>231</v>
      </c>
      <c r="W3" s="126"/>
    </row>
    <row r="4" spans="1:23" ht="12.75">
      <c r="A4" s="127">
        <v>10129</v>
      </c>
      <c r="B4" s="59"/>
      <c r="W4" s="126"/>
    </row>
    <row r="5" ht="13.5" thickBot="1">
      <c r="W5" s="126"/>
    </row>
    <row r="6" spans="1:65" ht="16.5" customHeight="1">
      <c r="A6" s="418" t="s">
        <v>5</v>
      </c>
      <c r="B6" s="399" t="s">
        <v>6</v>
      </c>
      <c r="C6" s="399" t="s">
        <v>7</v>
      </c>
      <c r="D6" s="399" t="s">
        <v>8</v>
      </c>
      <c r="E6" s="399" t="s">
        <v>9</v>
      </c>
      <c r="F6" s="399" t="s">
        <v>10</v>
      </c>
      <c r="G6" s="399" t="s">
        <v>11</v>
      </c>
      <c r="H6" s="399" t="s">
        <v>12</v>
      </c>
      <c r="I6" s="426" t="s">
        <v>13</v>
      </c>
      <c r="J6" s="439"/>
      <c r="K6" s="439"/>
      <c r="L6" s="439"/>
      <c r="M6" s="426" t="s">
        <v>14</v>
      </c>
      <c r="N6" s="439"/>
      <c r="O6" s="439"/>
      <c r="P6" s="439"/>
      <c r="Q6" s="399" t="s">
        <v>15</v>
      </c>
      <c r="R6" s="426" t="s">
        <v>16</v>
      </c>
      <c r="S6" s="426"/>
      <c r="T6" s="426" t="s">
        <v>17</v>
      </c>
      <c r="U6" s="426"/>
      <c r="V6" s="399" t="s">
        <v>18</v>
      </c>
      <c r="W6" s="442" t="s">
        <v>99</v>
      </c>
      <c r="X6" s="399" t="s">
        <v>100</v>
      </c>
      <c r="Y6" s="399" t="s">
        <v>21</v>
      </c>
      <c r="Z6" s="399" t="s">
        <v>22</v>
      </c>
      <c r="AA6" s="399" t="s">
        <v>23</v>
      </c>
      <c r="AB6" s="431" t="s">
        <v>24</v>
      </c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</row>
    <row r="7" spans="1:65" s="9" customFormat="1" ht="24.75" customHeight="1">
      <c r="A7" s="419"/>
      <c r="B7" s="429"/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4"/>
      <c r="R7" s="63" t="s">
        <v>29</v>
      </c>
      <c r="S7" s="63" t="s">
        <v>30</v>
      </c>
      <c r="T7" s="63" t="s">
        <v>232</v>
      </c>
      <c r="U7" s="63" t="s">
        <v>30</v>
      </c>
      <c r="V7" s="63"/>
      <c r="W7" s="443"/>
      <c r="X7" s="63"/>
      <c r="Y7" s="63"/>
      <c r="Z7" s="63"/>
      <c r="AA7" s="424"/>
      <c r="AB7" s="432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</row>
    <row r="8" spans="1:65" ht="25.5" customHeight="1" thickBot="1">
      <c r="A8" s="420"/>
      <c r="B8" s="430"/>
      <c r="C8" s="430"/>
      <c r="D8" s="430"/>
      <c r="E8" s="430"/>
      <c r="F8" s="430"/>
      <c r="G8" s="430"/>
      <c r="H8" s="430"/>
      <c r="I8" s="58" t="s">
        <v>32</v>
      </c>
      <c r="J8" s="58" t="s">
        <v>33</v>
      </c>
      <c r="K8" s="58" t="s">
        <v>34</v>
      </c>
      <c r="L8" s="58" t="s">
        <v>26</v>
      </c>
      <c r="M8" s="58" t="s">
        <v>25</v>
      </c>
      <c r="N8" s="58" t="s">
        <v>26</v>
      </c>
      <c r="O8" s="58" t="s">
        <v>27</v>
      </c>
      <c r="P8" s="58" t="s">
        <v>28</v>
      </c>
      <c r="Q8" s="425"/>
      <c r="R8" s="377"/>
      <c r="S8" s="377"/>
      <c r="T8" s="425"/>
      <c r="U8" s="377"/>
      <c r="V8" s="377"/>
      <c r="W8" s="444"/>
      <c r="X8" s="377"/>
      <c r="Y8" s="377"/>
      <c r="Z8" s="377"/>
      <c r="AA8" s="425"/>
      <c r="AB8" s="433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</row>
    <row r="9" spans="1:28" ht="12.75">
      <c r="A9" s="128" t="s">
        <v>233</v>
      </c>
      <c r="B9" s="129">
        <v>1017</v>
      </c>
      <c r="C9" s="130">
        <v>6</v>
      </c>
      <c r="D9" s="129">
        <v>27000102</v>
      </c>
      <c r="E9" s="130" t="s">
        <v>234</v>
      </c>
      <c r="F9" s="129" t="s">
        <v>38</v>
      </c>
      <c r="G9" s="129">
        <v>0</v>
      </c>
      <c r="H9" s="129" t="s">
        <v>218</v>
      </c>
      <c r="I9" s="129">
        <v>2650</v>
      </c>
      <c r="J9" s="129" t="s">
        <v>235</v>
      </c>
      <c r="K9" s="113"/>
      <c r="L9" s="129">
        <v>0</v>
      </c>
      <c r="M9" s="129">
        <v>0</v>
      </c>
      <c r="N9" s="129">
        <v>0</v>
      </c>
      <c r="O9" s="129">
        <v>0</v>
      </c>
      <c r="P9" s="129">
        <v>0</v>
      </c>
      <c r="Q9" s="130" t="s">
        <v>43</v>
      </c>
      <c r="R9" s="113"/>
      <c r="S9" s="113"/>
      <c r="T9" s="113"/>
      <c r="U9" s="113"/>
      <c r="V9" s="113"/>
      <c r="W9" s="131">
        <f>Z9*I9/2000</f>
        <v>0.24115</v>
      </c>
      <c r="X9" s="113">
        <v>0</v>
      </c>
      <c r="Y9" s="113">
        <v>5</v>
      </c>
      <c r="Z9" s="113">
        <v>0.182</v>
      </c>
      <c r="AA9" s="113" t="s">
        <v>236</v>
      </c>
      <c r="AB9" s="115"/>
    </row>
    <row r="10" spans="1:28" ht="12.75">
      <c r="A10" s="132" t="s">
        <v>233</v>
      </c>
      <c r="B10" s="133">
        <v>1018</v>
      </c>
      <c r="C10" s="134">
        <v>8</v>
      </c>
      <c r="D10" s="133">
        <v>27000102</v>
      </c>
      <c r="E10" s="134" t="s">
        <v>237</v>
      </c>
      <c r="F10" s="133" t="s">
        <v>38</v>
      </c>
      <c r="G10" s="133">
        <v>0</v>
      </c>
      <c r="H10" s="133" t="s">
        <v>218</v>
      </c>
      <c r="I10" s="133">
        <v>3660</v>
      </c>
      <c r="J10" s="133" t="s">
        <v>235</v>
      </c>
      <c r="K10" s="116"/>
      <c r="L10" s="133">
        <v>0</v>
      </c>
      <c r="M10" s="133">
        <v>0</v>
      </c>
      <c r="N10" s="133">
        <v>0</v>
      </c>
      <c r="O10" s="133">
        <v>0</v>
      </c>
      <c r="P10" s="133">
        <v>0</v>
      </c>
      <c r="Q10" s="134" t="s">
        <v>43</v>
      </c>
      <c r="R10" s="116"/>
      <c r="S10" s="116"/>
      <c r="T10" s="116"/>
      <c r="U10" s="116"/>
      <c r="V10" s="116"/>
      <c r="W10" s="135">
        <v>0.023</v>
      </c>
      <c r="X10" s="116">
        <v>0</v>
      </c>
      <c r="Y10" s="116">
        <v>5</v>
      </c>
      <c r="Z10" s="116"/>
      <c r="AA10" s="116"/>
      <c r="AB10" s="118" t="s">
        <v>238</v>
      </c>
    </row>
    <row r="11" spans="1:28" ht="12.75">
      <c r="A11" s="132" t="s">
        <v>233</v>
      </c>
      <c r="B11" s="133">
        <v>1201</v>
      </c>
      <c r="C11" s="134">
        <v>7</v>
      </c>
      <c r="D11" s="133">
        <v>27000102</v>
      </c>
      <c r="E11" s="134" t="s">
        <v>239</v>
      </c>
      <c r="F11" s="133" t="s">
        <v>38</v>
      </c>
      <c r="G11" s="133">
        <v>0</v>
      </c>
      <c r="H11" s="133" t="s">
        <v>218</v>
      </c>
      <c r="I11" s="133">
        <v>626</v>
      </c>
      <c r="J11" s="133" t="s">
        <v>235</v>
      </c>
      <c r="K11" s="116"/>
      <c r="L11" s="133">
        <v>0</v>
      </c>
      <c r="M11" s="133">
        <v>0</v>
      </c>
      <c r="N11" s="133">
        <v>0</v>
      </c>
      <c r="O11" s="133">
        <v>0</v>
      </c>
      <c r="P11" s="133">
        <v>0</v>
      </c>
      <c r="Q11" s="134" t="s">
        <v>43</v>
      </c>
      <c r="R11" s="116"/>
      <c r="S11" s="116"/>
      <c r="T11" s="116"/>
      <c r="U11" s="116"/>
      <c r="V11" s="116"/>
      <c r="W11" s="135">
        <f>Z11*I11/2000</f>
        <v>0.04475899999999999</v>
      </c>
      <c r="X11" s="116">
        <v>0</v>
      </c>
      <c r="Y11" s="116">
        <v>5</v>
      </c>
      <c r="Z11" s="116">
        <v>0.143</v>
      </c>
      <c r="AA11" s="116" t="s">
        <v>236</v>
      </c>
      <c r="AB11" s="118"/>
    </row>
    <row r="12" spans="1:28" ht="12.75">
      <c r="A12" s="132" t="s">
        <v>35</v>
      </c>
      <c r="B12" s="133">
        <v>3301</v>
      </c>
      <c r="C12" s="134" t="s">
        <v>240</v>
      </c>
      <c r="D12" s="133">
        <v>50100104</v>
      </c>
      <c r="E12" s="134" t="s">
        <v>241</v>
      </c>
      <c r="F12" s="133" t="s">
        <v>38</v>
      </c>
      <c r="G12" s="133">
        <v>24</v>
      </c>
      <c r="H12" s="133" t="s">
        <v>242</v>
      </c>
      <c r="I12" s="133">
        <v>65115</v>
      </c>
      <c r="J12" s="133" t="s">
        <v>243</v>
      </c>
      <c r="K12" s="116">
        <v>210</v>
      </c>
      <c r="L12" s="133" t="s">
        <v>244</v>
      </c>
      <c r="M12" s="133">
        <v>4500</v>
      </c>
      <c r="N12" s="133" t="s">
        <v>245</v>
      </c>
      <c r="O12" s="133">
        <v>0.13</v>
      </c>
      <c r="P12" s="133">
        <v>20</v>
      </c>
      <c r="Q12" s="134" t="s">
        <v>43</v>
      </c>
      <c r="R12" s="116" t="s">
        <v>246</v>
      </c>
      <c r="S12" s="116">
        <v>41</v>
      </c>
      <c r="T12" s="116" t="s">
        <v>247</v>
      </c>
      <c r="U12" s="116">
        <v>10</v>
      </c>
      <c r="V12" s="136">
        <v>0.59</v>
      </c>
      <c r="W12" s="135">
        <v>44.212</v>
      </c>
      <c r="X12" s="116">
        <v>0</v>
      </c>
      <c r="Y12" s="116">
        <v>1</v>
      </c>
      <c r="Z12" s="116"/>
      <c r="AA12" s="116"/>
      <c r="AB12" s="118" t="s">
        <v>214</v>
      </c>
    </row>
    <row r="13" spans="1:28" ht="12.75">
      <c r="A13" s="132" t="s">
        <v>35</v>
      </c>
      <c r="B13" s="133">
        <v>3725</v>
      </c>
      <c r="C13" s="134" t="s">
        <v>35</v>
      </c>
      <c r="D13" s="133">
        <v>50100104</v>
      </c>
      <c r="E13" s="134" t="s">
        <v>241</v>
      </c>
      <c r="F13" s="133" t="s">
        <v>52</v>
      </c>
      <c r="G13" s="133">
        <v>25</v>
      </c>
      <c r="H13" s="133" t="s">
        <v>242</v>
      </c>
      <c r="I13" s="133">
        <v>64931</v>
      </c>
      <c r="J13" s="133" t="s">
        <v>243</v>
      </c>
      <c r="K13" s="116">
        <v>210</v>
      </c>
      <c r="L13" s="133" t="s">
        <v>244</v>
      </c>
      <c r="M13" s="133">
        <v>4500</v>
      </c>
      <c r="N13" s="133" t="s">
        <v>245</v>
      </c>
      <c r="O13" s="133">
        <v>0.13</v>
      </c>
      <c r="P13" s="133">
        <v>20</v>
      </c>
      <c r="Q13" s="134" t="s">
        <v>43</v>
      </c>
      <c r="R13" s="116" t="s">
        <v>246</v>
      </c>
      <c r="S13" s="116">
        <v>41</v>
      </c>
      <c r="T13" s="116" t="s">
        <v>247</v>
      </c>
      <c r="U13" s="116">
        <v>10</v>
      </c>
      <c r="V13" s="136">
        <v>0.59</v>
      </c>
      <c r="W13" s="135">
        <v>36.238</v>
      </c>
      <c r="X13" s="116">
        <v>0</v>
      </c>
      <c r="Y13" s="116">
        <v>1</v>
      </c>
      <c r="Z13" s="116"/>
      <c r="AA13" s="116"/>
      <c r="AB13" s="118" t="s">
        <v>214</v>
      </c>
    </row>
    <row r="14" spans="1:28" ht="12.75">
      <c r="A14" s="132" t="s">
        <v>120</v>
      </c>
      <c r="B14" s="133">
        <v>11776</v>
      </c>
      <c r="C14" s="134">
        <v>17</v>
      </c>
      <c r="D14" s="133">
        <v>20200401</v>
      </c>
      <c r="E14" s="134" t="s">
        <v>248</v>
      </c>
      <c r="F14" s="133" t="s">
        <v>38</v>
      </c>
      <c r="G14" s="133">
        <v>3293</v>
      </c>
      <c r="H14" s="133" t="s">
        <v>218</v>
      </c>
      <c r="I14" s="133">
        <v>39</v>
      </c>
      <c r="J14" s="133" t="s">
        <v>235</v>
      </c>
      <c r="K14" s="116">
        <v>231</v>
      </c>
      <c r="L14" s="133" t="s">
        <v>249</v>
      </c>
      <c r="M14" s="133">
        <v>0</v>
      </c>
      <c r="N14" s="133">
        <v>0</v>
      </c>
      <c r="O14" s="133">
        <v>0</v>
      </c>
      <c r="P14" s="133">
        <v>0</v>
      </c>
      <c r="Q14" s="134" t="s">
        <v>43</v>
      </c>
      <c r="R14" s="116"/>
      <c r="S14" s="116"/>
      <c r="T14" s="116"/>
      <c r="U14" s="116"/>
      <c r="V14" s="116"/>
      <c r="W14" s="135">
        <f>Z14*I14/2000</f>
        <v>0.0027300000000000002</v>
      </c>
      <c r="X14" s="116">
        <v>0</v>
      </c>
      <c r="Y14" s="116">
        <v>5</v>
      </c>
      <c r="Z14" s="116">
        <v>0.14</v>
      </c>
      <c r="AA14" s="116" t="s">
        <v>236</v>
      </c>
      <c r="AB14" s="118"/>
    </row>
    <row r="15" spans="1:28" ht="12.75">
      <c r="A15" s="132">
        <v>2</v>
      </c>
      <c r="B15" s="133">
        <v>2681</v>
      </c>
      <c r="C15" s="134">
        <v>3</v>
      </c>
      <c r="D15" s="133">
        <v>10500110</v>
      </c>
      <c r="E15" s="134" t="s">
        <v>250</v>
      </c>
      <c r="F15" s="133" t="s">
        <v>38</v>
      </c>
      <c r="G15" s="133">
        <v>0</v>
      </c>
      <c r="H15" s="133" t="s">
        <v>146</v>
      </c>
      <c r="I15" s="133">
        <v>1892</v>
      </c>
      <c r="J15" s="133" t="s">
        <v>251</v>
      </c>
      <c r="K15" s="116"/>
      <c r="L15" s="133"/>
      <c r="M15" s="133">
        <v>94000</v>
      </c>
      <c r="N15" s="133" t="s">
        <v>252</v>
      </c>
      <c r="O15" s="133"/>
      <c r="P15" s="133"/>
      <c r="Q15" s="134" t="s">
        <v>43</v>
      </c>
      <c r="R15" s="116"/>
      <c r="S15" s="116"/>
      <c r="T15" s="116"/>
      <c r="U15" s="116"/>
      <c r="V15" s="116"/>
      <c r="W15" s="135">
        <f>Z15*I15/1000/2000</f>
        <v>0.0009459999999999999</v>
      </c>
      <c r="X15" s="116">
        <v>0</v>
      </c>
      <c r="Y15" s="116">
        <v>8</v>
      </c>
      <c r="Z15" s="116">
        <v>1</v>
      </c>
      <c r="AA15" s="116" t="s">
        <v>253</v>
      </c>
      <c r="AB15" s="118"/>
    </row>
    <row r="16" spans="1:28" ht="12.75">
      <c r="A16" s="132">
        <v>2</v>
      </c>
      <c r="B16" s="133">
        <v>170326</v>
      </c>
      <c r="C16" s="134" t="s">
        <v>254</v>
      </c>
      <c r="D16" s="133">
        <v>10500110</v>
      </c>
      <c r="E16" s="134" t="s">
        <v>255</v>
      </c>
      <c r="F16" s="133" t="s">
        <v>38</v>
      </c>
      <c r="G16" s="133">
        <v>0</v>
      </c>
      <c r="H16" s="133" t="s">
        <v>146</v>
      </c>
      <c r="I16" s="133">
        <v>1892</v>
      </c>
      <c r="J16" s="133" t="s">
        <v>251</v>
      </c>
      <c r="K16" s="116"/>
      <c r="L16" s="133"/>
      <c r="M16" s="133">
        <v>94000</v>
      </c>
      <c r="N16" s="133" t="s">
        <v>252</v>
      </c>
      <c r="O16" s="133"/>
      <c r="P16" s="133"/>
      <c r="Q16" s="134" t="s">
        <v>43</v>
      </c>
      <c r="R16" s="116"/>
      <c r="S16" s="116"/>
      <c r="T16" s="116"/>
      <c r="U16" s="116"/>
      <c r="V16" s="116"/>
      <c r="W16" s="135">
        <f>Z16*I16/1000/2000</f>
        <v>0.0009459999999999999</v>
      </c>
      <c r="X16" s="116">
        <v>0</v>
      </c>
      <c r="Y16" s="116">
        <v>8</v>
      </c>
      <c r="Z16" s="116">
        <v>1</v>
      </c>
      <c r="AA16" s="116" t="s">
        <v>253</v>
      </c>
      <c r="AB16" s="118"/>
    </row>
    <row r="17" spans="1:28" ht="12.75">
      <c r="A17" s="132">
        <v>12</v>
      </c>
      <c r="B17" s="133">
        <v>170324</v>
      </c>
      <c r="C17" s="134">
        <v>9</v>
      </c>
      <c r="D17" s="133">
        <v>27000102</v>
      </c>
      <c r="E17" s="134" t="s">
        <v>256</v>
      </c>
      <c r="F17" s="133" t="s">
        <v>38</v>
      </c>
      <c r="G17" s="133">
        <v>0</v>
      </c>
      <c r="H17" s="133" t="s">
        <v>146</v>
      </c>
      <c r="I17" s="133">
        <v>631</v>
      </c>
      <c r="J17" s="133" t="s">
        <v>251</v>
      </c>
      <c r="K17" s="116"/>
      <c r="L17" s="133"/>
      <c r="M17" s="133"/>
      <c r="N17" s="133"/>
      <c r="O17" s="133"/>
      <c r="P17" s="133"/>
      <c r="Q17" s="134" t="s">
        <v>43</v>
      </c>
      <c r="R17" s="116"/>
      <c r="S17" s="116"/>
      <c r="T17" s="116"/>
      <c r="U17" s="116"/>
      <c r="V17" s="116"/>
      <c r="W17" s="135">
        <f>Z17*I17/100/2000</f>
        <v>0.003155</v>
      </c>
      <c r="X17" s="116">
        <v>0</v>
      </c>
      <c r="Y17" s="116">
        <v>8</v>
      </c>
      <c r="Z17" s="116">
        <v>1</v>
      </c>
      <c r="AA17" s="116" t="s">
        <v>257</v>
      </c>
      <c r="AB17" s="118"/>
    </row>
    <row r="18" spans="1:28" ht="12.75">
      <c r="A18" s="137" t="s">
        <v>120</v>
      </c>
      <c r="B18" s="116">
        <v>170325</v>
      </c>
      <c r="C18" s="85">
        <v>10</v>
      </c>
      <c r="D18" s="116">
        <v>20300101</v>
      </c>
      <c r="E18" s="116" t="s">
        <v>258</v>
      </c>
      <c r="F18" s="84" t="s">
        <v>38</v>
      </c>
      <c r="G18" s="116">
        <v>0</v>
      </c>
      <c r="H18" s="84" t="s">
        <v>218</v>
      </c>
      <c r="I18" s="116">
        <v>60</v>
      </c>
      <c r="J18" s="84" t="s">
        <v>235</v>
      </c>
      <c r="K18" s="116">
        <v>231</v>
      </c>
      <c r="L18" s="84" t="s">
        <v>249</v>
      </c>
      <c r="M18" s="116">
        <v>137000</v>
      </c>
      <c r="N18" s="84" t="s">
        <v>80</v>
      </c>
      <c r="O18" s="116">
        <v>0.5</v>
      </c>
      <c r="P18" s="116"/>
      <c r="Q18" s="116" t="s">
        <v>43</v>
      </c>
      <c r="R18" s="116"/>
      <c r="S18" s="116"/>
      <c r="T18" s="116"/>
      <c r="U18" s="116"/>
      <c r="V18" s="116"/>
      <c r="W18" s="135">
        <f>Z18*I18*K18/2000</f>
        <v>0.014206500000000002</v>
      </c>
      <c r="X18" s="116">
        <v>0</v>
      </c>
      <c r="Y18" s="116">
        <v>8</v>
      </c>
      <c r="Z18" s="116">
        <v>0.00205</v>
      </c>
      <c r="AA18" s="116" t="s">
        <v>259</v>
      </c>
      <c r="AB18" s="118"/>
    </row>
    <row r="19" spans="1:28" ht="12.75">
      <c r="A19" s="137">
        <v>12</v>
      </c>
      <c r="B19" s="116">
        <v>170344</v>
      </c>
      <c r="C19" s="116" t="s">
        <v>260</v>
      </c>
      <c r="D19" s="116">
        <v>50100401</v>
      </c>
      <c r="E19" s="116" t="s">
        <v>261</v>
      </c>
      <c r="F19" s="84" t="s">
        <v>38</v>
      </c>
      <c r="G19" s="116">
        <v>0</v>
      </c>
      <c r="H19" s="84" t="s">
        <v>218</v>
      </c>
      <c r="I19" s="116">
        <v>152</v>
      </c>
      <c r="J19" s="84" t="s">
        <v>235</v>
      </c>
      <c r="K19" s="116"/>
      <c r="L19" s="84"/>
      <c r="M19" s="116"/>
      <c r="N19" s="116"/>
      <c r="O19" s="116"/>
      <c r="P19" s="116"/>
      <c r="Q19" s="116" t="s">
        <v>43</v>
      </c>
      <c r="R19" s="116"/>
      <c r="S19" s="116"/>
      <c r="T19" s="116"/>
      <c r="U19" s="116"/>
      <c r="V19" s="116"/>
      <c r="W19" s="135">
        <f aca="true" t="shared" si="0" ref="W19:W25">Z19*I19/2000</f>
        <v>0.034504</v>
      </c>
      <c r="X19" s="116">
        <v>0</v>
      </c>
      <c r="Y19" s="116">
        <v>8</v>
      </c>
      <c r="Z19" s="116">
        <v>0.454</v>
      </c>
      <c r="AA19" s="116" t="s">
        <v>236</v>
      </c>
      <c r="AB19" s="118"/>
    </row>
    <row r="20" spans="1:28" ht="12.75">
      <c r="A20" s="137">
        <v>12</v>
      </c>
      <c r="B20" s="116">
        <v>170345</v>
      </c>
      <c r="C20" s="116" t="s">
        <v>262</v>
      </c>
      <c r="D20" s="116">
        <v>50100401</v>
      </c>
      <c r="E20" s="116" t="s">
        <v>263</v>
      </c>
      <c r="F20" s="84" t="s">
        <v>38</v>
      </c>
      <c r="G20" s="116">
        <v>0</v>
      </c>
      <c r="H20" s="84" t="s">
        <v>218</v>
      </c>
      <c r="I20" s="116">
        <v>1239</v>
      </c>
      <c r="J20" s="84" t="s">
        <v>235</v>
      </c>
      <c r="K20" s="116"/>
      <c r="L20" s="84"/>
      <c r="M20" s="116"/>
      <c r="N20" s="116"/>
      <c r="O20" s="116"/>
      <c r="P20" s="116"/>
      <c r="Q20" s="116" t="s">
        <v>43</v>
      </c>
      <c r="R20" s="116"/>
      <c r="S20" s="116"/>
      <c r="T20" s="116"/>
      <c r="U20" s="116"/>
      <c r="V20" s="116"/>
      <c r="W20" s="135">
        <f t="shared" si="0"/>
        <v>0.21558599999999997</v>
      </c>
      <c r="X20" s="116">
        <v>0</v>
      </c>
      <c r="Y20" s="116">
        <v>8</v>
      </c>
      <c r="Z20" s="116">
        <v>0.348</v>
      </c>
      <c r="AA20" s="116" t="s">
        <v>236</v>
      </c>
      <c r="AB20" s="118"/>
    </row>
    <row r="21" spans="1:28" ht="12.75">
      <c r="A21" s="137">
        <v>12</v>
      </c>
      <c r="B21" s="116">
        <v>170346</v>
      </c>
      <c r="C21" s="116" t="s">
        <v>264</v>
      </c>
      <c r="D21" s="116">
        <v>50100401</v>
      </c>
      <c r="E21" s="116" t="s">
        <v>119</v>
      </c>
      <c r="F21" s="84" t="s">
        <v>38</v>
      </c>
      <c r="G21" s="116">
        <v>0</v>
      </c>
      <c r="H21" s="84" t="s">
        <v>218</v>
      </c>
      <c r="I21" s="116">
        <v>449</v>
      </c>
      <c r="J21" s="84" t="s">
        <v>235</v>
      </c>
      <c r="K21" s="116"/>
      <c r="L21" s="84"/>
      <c r="M21" s="116"/>
      <c r="N21" s="116"/>
      <c r="O21" s="116"/>
      <c r="P21" s="116"/>
      <c r="Q21" s="116" t="s">
        <v>43</v>
      </c>
      <c r="R21" s="116"/>
      <c r="S21" s="116"/>
      <c r="T21" s="116"/>
      <c r="U21" s="116"/>
      <c r="V21" s="116"/>
      <c r="W21" s="135">
        <f t="shared" si="0"/>
        <v>0.019306999999999998</v>
      </c>
      <c r="X21" s="116">
        <v>0</v>
      </c>
      <c r="Y21" s="116">
        <v>8</v>
      </c>
      <c r="Z21" s="116">
        <v>0.086</v>
      </c>
      <c r="AA21" s="116" t="s">
        <v>236</v>
      </c>
      <c r="AB21" s="118"/>
    </row>
    <row r="22" spans="1:28" ht="12.75">
      <c r="A22" s="137">
        <v>12</v>
      </c>
      <c r="B22" s="116">
        <v>170347</v>
      </c>
      <c r="C22" s="116" t="s">
        <v>265</v>
      </c>
      <c r="D22" s="116">
        <v>50100401</v>
      </c>
      <c r="E22" s="116" t="s">
        <v>266</v>
      </c>
      <c r="F22" s="84" t="s">
        <v>38</v>
      </c>
      <c r="G22" s="116">
        <v>0</v>
      </c>
      <c r="H22" s="84" t="s">
        <v>218</v>
      </c>
      <c r="I22" s="116">
        <v>1610</v>
      </c>
      <c r="J22" s="84" t="s">
        <v>235</v>
      </c>
      <c r="K22" s="116"/>
      <c r="L22" s="84"/>
      <c r="M22" s="116"/>
      <c r="N22" s="116"/>
      <c r="O22" s="116"/>
      <c r="P22" s="116"/>
      <c r="Q22" s="116" t="s">
        <v>43</v>
      </c>
      <c r="R22" s="116"/>
      <c r="S22" s="116"/>
      <c r="T22" s="116"/>
      <c r="U22" s="116"/>
      <c r="V22" s="116"/>
      <c r="W22" s="135">
        <f t="shared" si="0"/>
        <v>0.372715</v>
      </c>
      <c r="X22" s="116">
        <v>0</v>
      </c>
      <c r="Y22" s="116">
        <v>8</v>
      </c>
      <c r="Z22" s="116">
        <v>0.463</v>
      </c>
      <c r="AA22" s="116" t="s">
        <v>236</v>
      </c>
      <c r="AB22" s="118"/>
    </row>
    <row r="23" spans="1:28" ht="12.75">
      <c r="A23" s="137">
        <v>12</v>
      </c>
      <c r="B23" s="116">
        <v>170348</v>
      </c>
      <c r="C23" s="116" t="s">
        <v>267</v>
      </c>
      <c r="D23" s="116">
        <v>50100401</v>
      </c>
      <c r="E23" s="116" t="s">
        <v>268</v>
      </c>
      <c r="F23" s="84" t="s">
        <v>38</v>
      </c>
      <c r="G23" s="116">
        <v>0</v>
      </c>
      <c r="H23" s="84" t="s">
        <v>218</v>
      </c>
      <c r="I23" s="116">
        <v>3616</v>
      </c>
      <c r="J23" s="84" t="s">
        <v>235</v>
      </c>
      <c r="K23" s="116"/>
      <c r="L23" s="84"/>
      <c r="M23" s="116"/>
      <c r="N23" s="116"/>
      <c r="O23" s="116"/>
      <c r="P23" s="116"/>
      <c r="Q23" s="116" t="s">
        <v>43</v>
      </c>
      <c r="R23" s="116"/>
      <c r="S23" s="116"/>
      <c r="T23" s="116"/>
      <c r="U23" s="116"/>
      <c r="V23" s="116"/>
      <c r="W23" s="135">
        <f t="shared" si="0"/>
        <v>0.12113600000000001</v>
      </c>
      <c r="X23" s="116">
        <v>0</v>
      </c>
      <c r="Y23" s="116">
        <v>8</v>
      </c>
      <c r="Z23" s="116">
        <v>0.067</v>
      </c>
      <c r="AA23" s="116" t="s">
        <v>236</v>
      </c>
      <c r="AB23" s="118"/>
    </row>
    <row r="24" spans="1:28" ht="12.75">
      <c r="A24" s="137">
        <v>12</v>
      </c>
      <c r="B24" s="116">
        <v>170349</v>
      </c>
      <c r="C24" s="116" t="s">
        <v>269</v>
      </c>
      <c r="D24" s="116">
        <v>50100401</v>
      </c>
      <c r="E24" s="116" t="s">
        <v>270</v>
      </c>
      <c r="F24" s="84" t="s">
        <v>38</v>
      </c>
      <c r="G24" s="116">
        <v>0</v>
      </c>
      <c r="H24" s="84" t="s">
        <v>218</v>
      </c>
      <c r="I24" s="116">
        <v>650</v>
      </c>
      <c r="J24" s="84" t="s">
        <v>235</v>
      </c>
      <c r="K24" s="116"/>
      <c r="L24" s="84"/>
      <c r="M24" s="116"/>
      <c r="N24" s="116"/>
      <c r="O24" s="116"/>
      <c r="P24" s="116"/>
      <c r="Q24" s="116" t="s">
        <v>43</v>
      </c>
      <c r="R24" s="116"/>
      <c r="S24" s="116"/>
      <c r="T24" s="116"/>
      <c r="U24" s="116"/>
      <c r="V24" s="116"/>
      <c r="W24" s="135">
        <f t="shared" si="0"/>
        <v>0.046474999999999995</v>
      </c>
      <c r="X24" s="116">
        <v>0</v>
      </c>
      <c r="Y24" s="116">
        <v>8</v>
      </c>
      <c r="Z24" s="116">
        <v>0.143</v>
      </c>
      <c r="AA24" s="116" t="s">
        <v>236</v>
      </c>
      <c r="AB24" s="118"/>
    </row>
    <row r="25" spans="1:28" ht="12.75">
      <c r="A25" s="137">
        <v>12</v>
      </c>
      <c r="B25" s="116">
        <v>170351</v>
      </c>
      <c r="C25" s="116" t="s">
        <v>271</v>
      </c>
      <c r="D25" s="116">
        <v>50100401</v>
      </c>
      <c r="E25" s="116" t="s">
        <v>272</v>
      </c>
      <c r="F25" s="84" t="s">
        <v>38</v>
      </c>
      <c r="G25" s="116">
        <v>0</v>
      </c>
      <c r="H25" s="84" t="s">
        <v>273</v>
      </c>
      <c r="I25" s="116">
        <v>223</v>
      </c>
      <c r="J25" s="84" t="s">
        <v>235</v>
      </c>
      <c r="K25" s="116"/>
      <c r="L25" s="84"/>
      <c r="M25" s="116"/>
      <c r="N25" s="116"/>
      <c r="O25" s="116"/>
      <c r="P25" s="116"/>
      <c r="Q25" s="116" t="s">
        <v>43</v>
      </c>
      <c r="R25" s="116"/>
      <c r="S25" s="116"/>
      <c r="T25" s="116"/>
      <c r="U25" s="116"/>
      <c r="V25" s="116"/>
      <c r="W25" s="135">
        <f t="shared" si="0"/>
        <v>0.0025645</v>
      </c>
      <c r="X25" s="116">
        <v>0</v>
      </c>
      <c r="Y25" s="116">
        <v>8</v>
      </c>
      <c r="Z25" s="116">
        <v>0.023</v>
      </c>
      <c r="AA25" s="116" t="s">
        <v>236</v>
      </c>
      <c r="AB25" s="118"/>
    </row>
    <row r="26" spans="1:28" ht="12.75">
      <c r="A26" s="137">
        <v>12</v>
      </c>
      <c r="B26" s="116">
        <v>170350</v>
      </c>
      <c r="C26" s="116" t="s">
        <v>274</v>
      </c>
      <c r="D26" s="116">
        <v>50100401</v>
      </c>
      <c r="E26" s="116" t="s">
        <v>275</v>
      </c>
      <c r="F26" s="84" t="s">
        <v>38</v>
      </c>
      <c r="G26" s="116">
        <v>0</v>
      </c>
      <c r="H26" s="84"/>
      <c r="I26" s="116">
        <v>152</v>
      </c>
      <c r="J26" s="84" t="s">
        <v>235</v>
      </c>
      <c r="K26" s="116"/>
      <c r="L26" s="84"/>
      <c r="M26" s="116"/>
      <c r="N26" s="116"/>
      <c r="O26" s="116"/>
      <c r="P26" s="116"/>
      <c r="Q26" s="116" t="s">
        <v>43</v>
      </c>
      <c r="R26" s="116"/>
      <c r="S26" s="116"/>
      <c r="T26" s="116"/>
      <c r="U26" s="116"/>
      <c r="V26" s="116"/>
      <c r="W26" s="135">
        <v>0.019</v>
      </c>
      <c r="X26" s="116">
        <v>0</v>
      </c>
      <c r="Y26" s="116">
        <v>6</v>
      </c>
      <c r="Z26" s="116"/>
      <c r="AA26" s="116"/>
      <c r="AB26" s="118" t="s">
        <v>238</v>
      </c>
    </row>
    <row r="27" spans="1:28" ht="12.75">
      <c r="A27" s="137">
        <v>12</v>
      </c>
      <c r="B27" s="116">
        <v>170352</v>
      </c>
      <c r="C27" s="116" t="s">
        <v>276</v>
      </c>
      <c r="D27" s="116">
        <v>50100401</v>
      </c>
      <c r="E27" s="116" t="s">
        <v>277</v>
      </c>
      <c r="F27" s="84" t="s">
        <v>38</v>
      </c>
      <c r="G27" s="116">
        <v>0</v>
      </c>
      <c r="H27" s="84" t="s">
        <v>218</v>
      </c>
      <c r="I27" s="116">
        <v>850</v>
      </c>
      <c r="J27" s="84" t="s">
        <v>235</v>
      </c>
      <c r="K27" s="116"/>
      <c r="L27" s="84"/>
      <c r="M27" s="116"/>
      <c r="N27" s="116"/>
      <c r="O27" s="116"/>
      <c r="P27" s="116"/>
      <c r="Q27" s="116" t="s">
        <v>43</v>
      </c>
      <c r="R27" s="116"/>
      <c r="S27" s="116"/>
      <c r="T27" s="116"/>
      <c r="U27" s="116"/>
      <c r="V27" s="116"/>
      <c r="W27" s="135">
        <v>0.001</v>
      </c>
      <c r="X27" s="116">
        <v>0</v>
      </c>
      <c r="Y27" s="116">
        <v>6</v>
      </c>
      <c r="Z27" s="116"/>
      <c r="AA27" s="116"/>
      <c r="AB27" s="118" t="s">
        <v>238</v>
      </c>
    </row>
    <row r="28" spans="1:28" ht="12.75">
      <c r="A28" s="137">
        <v>12</v>
      </c>
      <c r="B28" s="116">
        <v>170323</v>
      </c>
      <c r="C28" s="85">
        <v>6</v>
      </c>
      <c r="D28" s="116">
        <v>27000102</v>
      </c>
      <c r="E28" s="116" t="s">
        <v>278</v>
      </c>
      <c r="F28" s="84"/>
      <c r="G28" s="116"/>
      <c r="H28" s="84"/>
      <c r="I28" s="116"/>
      <c r="J28" s="84"/>
      <c r="K28" s="116"/>
      <c r="L28" s="84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35"/>
      <c r="X28" s="116">
        <v>0</v>
      </c>
      <c r="Y28" s="116"/>
      <c r="Z28" s="116"/>
      <c r="AA28" s="116"/>
      <c r="AB28" s="118"/>
    </row>
    <row r="29" spans="1:28" ht="12.75">
      <c r="A29" s="137">
        <v>12</v>
      </c>
      <c r="B29" s="116">
        <v>170343</v>
      </c>
      <c r="C29" s="116" t="s">
        <v>279</v>
      </c>
      <c r="D29" s="116">
        <v>50100401</v>
      </c>
      <c r="E29" s="116" t="s">
        <v>280</v>
      </c>
      <c r="F29" s="84" t="s">
        <v>38</v>
      </c>
      <c r="G29" s="116">
        <v>0</v>
      </c>
      <c r="H29" s="84" t="s">
        <v>218</v>
      </c>
      <c r="I29" s="116">
        <v>3323</v>
      </c>
      <c r="J29" s="84" t="s">
        <v>235</v>
      </c>
      <c r="K29" s="116"/>
      <c r="L29" s="84"/>
      <c r="M29" s="116"/>
      <c r="N29" s="116"/>
      <c r="O29" s="116"/>
      <c r="P29" s="116"/>
      <c r="Q29" s="116" t="s">
        <v>43</v>
      </c>
      <c r="R29" s="116"/>
      <c r="S29" s="116"/>
      <c r="T29" s="116"/>
      <c r="U29" s="116"/>
      <c r="V29" s="116"/>
      <c r="W29" s="135">
        <f>Z29*I29/2000</f>
        <v>0.30239299999999997</v>
      </c>
      <c r="X29" s="116">
        <v>0</v>
      </c>
      <c r="Y29" s="116">
        <v>8</v>
      </c>
      <c r="Z29" s="116">
        <v>0.182</v>
      </c>
      <c r="AA29" s="116" t="s">
        <v>236</v>
      </c>
      <c r="AB29" s="118"/>
    </row>
    <row r="30" spans="1:28" ht="12.75">
      <c r="A30" s="137" t="s">
        <v>120</v>
      </c>
      <c r="B30" s="116">
        <v>170354</v>
      </c>
      <c r="C30" s="116" t="s">
        <v>281</v>
      </c>
      <c r="D30" s="116">
        <v>20300101</v>
      </c>
      <c r="E30" s="116" t="s">
        <v>258</v>
      </c>
      <c r="F30" s="84" t="s">
        <v>38</v>
      </c>
      <c r="G30" s="116">
        <v>0</v>
      </c>
      <c r="H30" s="84" t="s">
        <v>218</v>
      </c>
      <c r="I30" s="116">
        <v>603</v>
      </c>
      <c r="J30" s="84" t="s">
        <v>235</v>
      </c>
      <c r="K30" s="116">
        <v>30</v>
      </c>
      <c r="L30" s="84" t="s">
        <v>249</v>
      </c>
      <c r="M30" s="116">
        <v>137000</v>
      </c>
      <c r="N30" s="84" t="s">
        <v>80</v>
      </c>
      <c r="O30" s="116"/>
      <c r="P30" s="116"/>
      <c r="Q30" s="116" t="s">
        <v>43</v>
      </c>
      <c r="R30" s="116"/>
      <c r="S30" s="116"/>
      <c r="T30" s="116"/>
      <c r="U30" s="116"/>
      <c r="V30" s="116"/>
      <c r="W30" s="135">
        <f>Z30*I30*K30/2000</f>
        <v>0.018542250000000003</v>
      </c>
      <c r="X30" s="116">
        <v>0</v>
      </c>
      <c r="Y30" s="116">
        <v>8</v>
      </c>
      <c r="Z30" s="116">
        <v>0.00205</v>
      </c>
      <c r="AA30" s="116" t="s">
        <v>259</v>
      </c>
      <c r="AB30" s="118"/>
    </row>
    <row r="31" spans="1:28" ht="12.75">
      <c r="A31" s="137" t="s">
        <v>120</v>
      </c>
      <c r="B31" s="116">
        <v>170355</v>
      </c>
      <c r="C31" s="116" t="s">
        <v>282</v>
      </c>
      <c r="D31" s="116">
        <v>20300101</v>
      </c>
      <c r="E31" s="116" t="s">
        <v>258</v>
      </c>
      <c r="F31" s="84" t="s">
        <v>38</v>
      </c>
      <c r="G31" s="116">
        <v>0</v>
      </c>
      <c r="H31" s="84" t="s">
        <v>218</v>
      </c>
      <c r="I31" s="116">
        <v>300</v>
      </c>
      <c r="J31" s="84" t="s">
        <v>235</v>
      </c>
      <c r="K31" s="116">
        <v>300</v>
      </c>
      <c r="L31" s="84" t="s">
        <v>249</v>
      </c>
      <c r="M31" s="116">
        <v>137000</v>
      </c>
      <c r="N31" s="84" t="s">
        <v>80</v>
      </c>
      <c r="O31" s="116"/>
      <c r="P31" s="116"/>
      <c r="Q31" s="116" t="s">
        <v>43</v>
      </c>
      <c r="R31" s="116"/>
      <c r="S31" s="116"/>
      <c r="T31" s="116"/>
      <c r="U31" s="116"/>
      <c r="V31" s="116"/>
      <c r="W31" s="135">
        <f>Z31*I31*K31/2000</f>
        <v>0.09225000000000001</v>
      </c>
      <c r="X31" s="116">
        <v>0</v>
      </c>
      <c r="Y31" s="116">
        <v>8</v>
      </c>
      <c r="Z31" s="116">
        <v>0.00205</v>
      </c>
      <c r="AA31" s="116" t="s">
        <v>259</v>
      </c>
      <c r="AB31" s="118"/>
    </row>
    <row r="32" spans="1:28" ht="12.75">
      <c r="A32" s="137" t="s">
        <v>120</v>
      </c>
      <c r="B32" s="116">
        <v>170356</v>
      </c>
      <c r="C32" s="116" t="s">
        <v>283</v>
      </c>
      <c r="D32" s="116">
        <v>20300101</v>
      </c>
      <c r="E32" s="116" t="s">
        <v>258</v>
      </c>
      <c r="F32" s="84" t="s">
        <v>38</v>
      </c>
      <c r="G32" s="116">
        <v>0</v>
      </c>
      <c r="H32" s="84" t="s">
        <v>218</v>
      </c>
      <c r="I32" s="116">
        <v>29</v>
      </c>
      <c r="J32" s="84" t="s">
        <v>235</v>
      </c>
      <c r="K32" s="116">
        <v>15</v>
      </c>
      <c r="L32" s="84" t="s">
        <v>249</v>
      </c>
      <c r="M32" s="116">
        <v>137000</v>
      </c>
      <c r="N32" s="84" t="s">
        <v>80</v>
      </c>
      <c r="O32" s="116"/>
      <c r="P32" s="116"/>
      <c r="Q32" s="116" t="s">
        <v>43</v>
      </c>
      <c r="R32" s="116"/>
      <c r="S32" s="116"/>
      <c r="T32" s="116"/>
      <c r="U32" s="116"/>
      <c r="V32" s="116"/>
      <c r="W32" s="135">
        <f>Z32*I32*K32/2000</f>
        <v>0.00044587500000000004</v>
      </c>
      <c r="X32" s="116">
        <v>0</v>
      </c>
      <c r="Y32" s="116">
        <v>8</v>
      </c>
      <c r="Z32" s="116">
        <v>0.00205</v>
      </c>
      <c r="AA32" s="116" t="s">
        <v>259</v>
      </c>
      <c r="AB32" s="118"/>
    </row>
    <row r="33" spans="1:28" ht="12.75">
      <c r="A33" s="137" t="s">
        <v>120</v>
      </c>
      <c r="B33" s="116">
        <v>170357</v>
      </c>
      <c r="C33" s="116" t="s">
        <v>284</v>
      </c>
      <c r="D33" s="116">
        <v>20300101</v>
      </c>
      <c r="E33" s="116" t="s">
        <v>258</v>
      </c>
      <c r="F33" s="84" t="s">
        <v>38</v>
      </c>
      <c r="G33" s="116">
        <v>0</v>
      </c>
      <c r="H33" s="84" t="s">
        <v>218</v>
      </c>
      <c r="I33" s="116">
        <v>100</v>
      </c>
      <c r="J33" s="84" t="s">
        <v>235</v>
      </c>
      <c r="K33" s="116">
        <v>5</v>
      </c>
      <c r="L33" s="84" t="s">
        <v>249</v>
      </c>
      <c r="M33" s="116">
        <v>137000</v>
      </c>
      <c r="N33" s="84" t="s">
        <v>80</v>
      </c>
      <c r="O33" s="116"/>
      <c r="P33" s="116"/>
      <c r="Q33" s="116" t="s">
        <v>43</v>
      </c>
      <c r="R33" s="116"/>
      <c r="S33" s="116"/>
      <c r="T33" s="116"/>
      <c r="U33" s="116"/>
      <c r="V33" s="116"/>
      <c r="W33" s="135">
        <f>Z33*I33*K33/2000</f>
        <v>0.0005125</v>
      </c>
      <c r="X33" s="116">
        <v>0</v>
      </c>
      <c r="Y33" s="116">
        <v>8</v>
      </c>
      <c r="Z33" s="116">
        <v>0.00205</v>
      </c>
      <c r="AA33" s="116" t="s">
        <v>259</v>
      </c>
      <c r="AB33" s="118"/>
    </row>
    <row r="34" spans="1:28" ht="13.5" thickBot="1">
      <c r="A34" s="138" t="s">
        <v>120</v>
      </c>
      <c r="B34" s="119">
        <v>170358</v>
      </c>
      <c r="C34" s="119" t="s">
        <v>285</v>
      </c>
      <c r="D34" s="119">
        <v>20300101</v>
      </c>
      <c r="E34" s="119" t="s">
        <v>286</v>
      </c>
      <c r="F34" s="89" t="s">
        <v>38</v>
      </c>
      <c r="G34" s="119">
        <v>0</v>
      </c>
      <c r="H34" s="89" t="s">
        <v>273</v>
      </c>
      <c r="I34" s="119">
        <v>500</v>
      </c>
      <c r="J34" s="89" t="s">
        <v>235</v>
      </c>
      <c r="K34" s="119">
        <v>5</v>
      </c>
      <c r="L34" s="89" t="s">
        <v>249</v>
      </c>
      <c r="M34" s="119">
        <v>130000</v>
      </c>
      <c r="N34" s="89" t="s">
        <v>80</v>
      </c>
      <c r="O34" s="119"/>
      <c r="P34" s="119"/>
      <c r="Q34" s="119" t="s">
        <v>43</v>
      </c>
      <c r="R34" s="119"/>
      <c r="S34" s="119"/>
      <c r="T34" s="119"/>
      <c r="U34" s="119"/>
      <c r="V34" s="119"/>
      <c r="W34" s="139">
        <f>Z34*I34*K34/2000</f>
        <v>0.0007375000000000001</v>
      </c>
      <c r="X34" s="119">
        <v>0</v>
      </c>
      <c r="Y34" s="119">
        <v>8</v>
      </c>
      <c r="Z34" s="119">
        <v>0.00059</v>
      </c>
      <c r="AA34" s="119" t="s">
        <v>259</v>
      </c>
      <c r="AB34" s="122"/>
    </row>
    <row r="35" spans="22:23" ht="13.5" thickBot="1">
      <c r="V35" s="140" t="s">
        <v>86</v>
      </c>
      <c r="W35" s="141">
        <f>SUM(W9:W34)</f>
        <v>82.02806112500002</v>
      </c>
    </row>
    <row r="36" ht="13.5" thickTop="1">
      <c r="C36" t="s">
        <v>287</v>
      </c>
    </row>
    <row r="37" ht="12.75">
      <c r="C37" t="s">
        <v>288</v>
      </c>
    </row>
    <row r="38" ht="12.75">
      <c r="C38" t="s">
        <v>289</v>
      </c>
    </row>
    <row r="39" ht="12.75">
      <c r="D39" t="s">
        <v>290</v>
      </c>
    </row>
  </sheetData>
  <mergeCells count="24">
    <mergeCell ref="A6:A8"/>
    <mergeCell ref="B6:B8"/>
    <mergeCell ref="C6:C8"/>
    <mergeCell ref="D6:D8"/>
    <mergeCell ref="E6:E8"/>
    <mergeCell ref="F6:F8"/>
    <mergeCell ref="G6:G8"/>
    <mergeCell ref="H6:H8"/>
    <mergeCell ref="I6:L7"/>
    <mergeCell ref="M6:P7"/>
    <mergeCell ref="Q6:Q8"/>
    <mergeCell ref="R6:S6"/>
    <mergeCell ref="R7:R8"/>
    <mergeCell ref="S7:S8"/>
    <mergeCell ref="T6:U6"/>
    <mergeCell ref="V6:V8"/>
    <mergeCell ref="W6:W8"/>
    <mergeCell ref="X6:X8"/>
    <mergeCell ref="T7:T8"/>
    <mergeCell ref="U7:U8"/>
    <mergeCell ref="Y6:Y8"/>
    <mergeCell ref="Z6:Z8"/>
    <mergeCell ref="AA6:AA8"/>
    <mergeCell ref="AB6:AB8"/>
  </mergeCells>
  <printOptions horizontalCentered="1"/>
  <pageMargins left="0.44" right="0.75" top="1.02" bottom="0.92" header="0.18" footer="0.44"/>
  <pageSetup horizontalDpi="600" verticalDpi="600" orientation="landscape" pageOrder="overThenDown" r:id="rId1"/>
  <headerFooter alignWithMargins="0">
    <oddHeader>&amp;L
Davis County Solid Waste (now Wasatch Energy Systems)
Site:  Landfill and Energy Recovery Facility
Site ID:  10129&amp;CRegional Haze
2000 Statewide SOx Sources</oddHeader>
    <oddFooter>&amp;L
&amp;R&amp;D
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N37"/>
  <sheetViews>
    <sheetView workbookViewId="0" topLeftCell="A1">
      <selection activeCell="C5" sqref="C5"/>
    </sheetView>
  </sheetViews>
  <sheetFormatPr defaultColWidth="9.140625" defaultRowHeight="12.75"/>
  <cols>
    <col min="1" max="1" width="7.7109375" style="0" customWidth="1"/>
    <col min="2" max="2" width="7.8515625" style="0" customWidth="1"/>
    <col min="3" max="3" width="10.421875" style="0" customWidth="1"/>
    <col min="4" max="4" width="10.7109375" style="0" customWidth="1"/>
    <col min="5" max="5" width="21.00390625" style="0" bestFit="1" customWidth="1"/>
    <col min="7" max="7" width="11.140625" style="0" customWidth="1"/>
    <col min="8" max="8" width="12.421875" style="0" customWidth="1"/>
    <col min="18" max="18" width="15.421875" style="0" customWidth="1"/>
    <col min="20" max="20" width="19.8515625" style="0" customWidth="1"/>
    <col min="22" max="22" width="10.57421875" style="0" customWidth="1"/>
    <col min="23" max="24" width="11.7109375" style="0" customWidth="1"/>
    <col min="28" max="28" width="29.140625" style="0" customWidth="1"/>
  </cols>
  <sheetData>
    <row r="1" spans="1:5" ht="15.75">
      <c r="A1" s="59" t="s">
        <v>350</v>
      </c>
      <c r="B1" s="59"/>
      <c r="E1" s="4" t="s">
        <v>1</v>
      </c>
    </row>
    <row r="2" spans="1:5" ht="15">
      <c r="A2" s="59"/>
      <c r="B2" s="59"/>
      <c r="E2" s="142" t="s">
        <v>95</v>
      </c>
    </row>
    <row r="3" spans="1:2" ht="12.75">
      <c r="A3" s="59" t="s">
        <v>291</v>
      </c>
      <c r="B3" s="59" t="s">
        <v>351</v>
      </c>
    </row>
    <row r="4" spans="1:2" ht="12.75">
      <c r="A4" s="59">
        <v>10122</v>
      </c>
      <c r="B4" s="59" t="s">
        <v>352</v>
      </c>
    </row>
    <row r="5" ht="13.5" thickBot="1"/>
    <row r="6" spans="1:66" ht="16.5" customHeight="1">
      <c r="A6" s="401" t="s">
        <v>5</v>
      </c>
      <c r="B6" s="404" t="s">
        <v>6</v>
      </c>
      <c r="C6" s="399" t="s">
        <v>7</v>
      </c>
      <c r="D6" s="399" t="s">
        <v>8</v>
      </c>
      <c r="E6" s="399" t="s">
        <v>9</v>
      </c>
      <c r="F6" s="399" t="s">
        <v>10</v>
      </c>
      <c r="G6" s="399" t="s">
        <v>11</v>
      </c>
      <c r="H6" s="399" t="s">
        <v>12</v>
      </c>
      <c r="I6" s="426" t="s">
        <v>13</v>
      </c>
      <c r="J6" s="439"/>
      <c r="K6" s="439"/>
      <c r="L6" s="440"/>
      <c r="M6" s="448" t="s">
        <v>14</v>
      </c>
      <c r="N6" s="439"/>
      <c r="O6" s="439"/>
      <c r="P6" s="439"/>
      <c r="Q6" s="399" t="s">
        <v>15</v>
      </c>
      <c r="R6" s="426" t="s">
        <v>16</v>
      </c>
      <c r="S6" s="426"/>
      <c r="T6" s="426" t="s">
        <v>17</v>
      </c>
      <c r="U6" s="426"/>
      <c r="V6" s="399" t="s">
        <v>18</v>
      </c>
      <c r="W6" s="445" t="s">
        <v>99</v>
      </c>
      <c r="X6" s="399" t="s">
        <v>100</v>
      </c>
      <c r="Y6" s="399" t="s">
        <v>21</v>
      </c>
      <c r="Z6" s="399" t="s">
        <v>22</v>
      </c>
      <c r="AA6" s="399" t="s">
        <v>23</v>
      </c>
      <c r="AB6" s="431" t="s">
        <v>24</v>
      </c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</row>
    <row r="7" spans="1:66" s="9" customFormat="1" ht="24.75" customHeight="1">
      <c r="A7" s="427"/>
      <c r="B7" s="419"/>
      <c r="C7" s="429"/>
      <c r="D7" s="429"/>
      <c r="E7" s="429"/>
      <c r="F7" s="429"/>
      <c r="G7" s="429"/>
      <c r="H7" s="429"/>
      <c r="I7" s="429"/>
      <c r="J7" s="429"/>
      <c r="K7" s="429"/>
      <c r="L7" s="441"/>
      <c r="M7" s="449"/>
      <c r="N7" s="429"/>
      <c r="O7" s="429"/>
      <c r="P7" s="429"/>
      <c r="Q7" s="424"/>
      <c r="R7" s="63" t="s">
        <v>29</v>
      </c>
      <c r="S7" s="63" t="s">
        <v>30</v>
      </c>
      <c r="T7" s="63" t="s">
        <v>101</v>
      </c>
      <c r="U7" s="63" t="s">
        <v>30</v>
      </c>
      <c r="V7" s="63"/>
      <c r="W7" s="446"/>
      <c r="X7" s="63"/>
      <c r="Y7" s="63"/>
      <c r="Z7" s="63"/>
      <c r="AA7" s="424"/>
      <c r="AB7" s="432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</row>
    <row r="8" spans="1:66" ht="25.5" customHeight="1" thickBot="1">
      <c r="A8" s="428"/>
      <c r="B8" s="420"/>
      <c r="C8" s="430"/>
      <c r="D8" s="430"/>
      <c r="E8" s="430"/>
      <c r="F8" s="430"/>
      <c r="G8" s="430"/>
      <c r="H8" s="430"/>
      <c r="I8" s="58" t="s">
        <v>32</v>
      </c>
      <c r="J8" s="58" t="s">
        <v>33</v>
      </c>
      <c r="K8" s="58" t="s">
        <v>34</v>
      </c>
      <c r="L8" s="111" t="s">
        <v>26</v>
      </c>
      <c r="M8" s="143" t="s">
        <v>25</v>
      </c>
      <c r="N8" s="58" t="s">
        <v>26</v>
      </c>
      <c r="O8" s="58" t="s">
        <v>27</v>
      </c>
      <c r="P8" s="58" t="s">
        <v>28</v>
      </c>
      <c r="Q8" s="425"/>
      <c r="R8" s="377"/>
      <c r="S8" s="377"/>
      <c r="T8" s="425"/>
      <c r="U8" s="377"/>
      <c r="V8" s="377"/>
      <c r="W8" s="447"/>
      <c r="X8" s="377"/>
      <c r="Y8" s="377"/>
      <c r="Z8" s="377"/>
      <c r="AA8" s="425"/>
      <c r="AB8" s="433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</row>
    <row r="9" spans="1:28" ht="12.75">
      <c r="A9" s="98">
        <v>3</v>
      </c>
      <c r="B9" s="101">
        <v>1288</v>
      </c>
      <c r="C9" s="101" t="s">
        <v>292</v>
      </c>
      <c r="D9" s="101">
        <v>30600106</v>
      </c>
      <c r="E9" s="101" t="s">
        <v>293</v>
      </c>
      <c r="F9" s="101" t="s">
        <v>294</v>
      </c>
      <c r="G9" s="101" t="s">
        <v>292</v>
      </c>
      <c r="H9" s="101" t="s">
        <v>295</v>
      </c>
      <c r="I9" s="101">
        <v>241</v>
      </c>
      <c r="J9" s="101" t="s">
        <v>296</v>
      </c>
      <c r="K9" s="144">
        <v>24.4</v>
      </c>
      <c r="L9" s="101" t="s">
        <v>297</v>
      </c>
      <c r="M9" s="145">
        <v>1050</v>
      </c>
      <c r="N9" s="101" t="s">
        <v>298</v>
      </c>
      <c r="O9" s="101">
        <v>0</v>
      </c>
      <c r="P9" s="101">
        <v>0</v>
      </c>
      <c r="Q9" s="101" t="s">
        <v>299</v>
      </c>
      <c r="R9" s="101" t="s">
        <v>103</v>
      </c>
      <c r="S9" s="101" t="s">
        <v>103</v>
      </c>
      <c r="T9" s="101" t="s">
        <v>103</v>
      </c>
      <c r="U9" s="101" t="s">
        <v>103</v>
      </c>
      <c r="V9" s="101" t="s">
        <v>103</v>
      </c>
      <c r="W9" s="144">
        <f>(I9*Z9)/2000</f>
        <v>0.27353500000000003</v>
      </c>
      <c r="X9" s="101" t="s">
        <v>103</v>
      </c>
      <c r="Y9" s="101">
        <v>1</v>
      </c>
      <c r="Z9" s="101">
        <v>2.27</v>
      </c>
      <c r="AA9" s="101" t="s">
        <v>300</v>
      </c>
      <c r="AB9" s="146" t="s">
        <v>214</v>
      </c>
    </row>
    <row r="10" spans="1:28" ht="12.75">
      <c r="A10" s="83">
        <v>3</v>
      </c>
      <c r="B10" s="86">
        <v>1289</v>
      </c>
      <c r="C10" s="86" t="s">
        <v>301</v>
      </c>
      <c r="D10" s="86">
        <v>30600106</v>
      </c>
      <c r="E10" s="86" t="s">
        <v>302</v>
      </c>
      <c r="F10" s="86" t="s">
        <v>294</v>
      </c>
      <c r="G10" s="86" t="s">
        <v>301</v>
      </c>
      <c r="H10" s="86" t="s">
        <v>295</v>
      </c>
      <c r="I10" s="86">
        <v>225</v>
      </c>
      <c r="J10" s="86" t="s">
        <v>296</v>
      </c>
      <c r="K10" s="147">
        <v>27.9</v>
      </c>
      <c r="L10" s="86" t="s">
        <v>297</v>
      </c>
      <c r="M10" s="148">
        <v>1050</v>
      </c>
      <c r="N10" s="86" t="s">
        <v>298</v>
      </c>
      <c r="O10" s="86">
        <v>0</v>
      </c>
      <c r="P10" s="86">
        <v>0</v>
      </c>
      <c r="Q10" s="86" t="s">
        <v>299</v>
      </c>
      <c r="R10" s="86" t="s">
        <v>103</v>
      </c>
      <c r="S10" s="86" t="s">
        <v>103</v>
      </c>
      <c r="T10" s="86" t="s">
        <v>103</v>
      </c>
      <c r="U10" s="86" t="s">
        <v>103</v>
      </c>
      <c r="V10" s="86" t="s">
        <v>103</v>
      </c>
      <c r="W10" s="147">
        <f>(I10*Z10)/2000</f>
        <v>0.255375</v>
      </c>
      <c r="X10" s="86" t="s">
        <v>103</v>
      </c>
      <c r="Y10" s="86">
        <v>1</v>
      </c>
      <c r="Z10" s="86">
        <v>2.27</v>
      </c>
      <c r="AA10" s="86" t="s">
        <v>300</v>
      </c>
      <c r="AB10" s="149" t="s">
        <v>214</v>
      </c>
    </row>
    <row r="11" spans="1:28" ht="12.75">
      <c r="A11" s="83">
        <v>3</v>
      </c>
      <c r="B11" s="86">
        <v>1290</v>
      </c>
      <c r="C11" s="86" t="s">
        <v>303</v>
      </c>
      <c r="D11" s="86">
        <v>30600106</v>
      </c>
      <c r="E11" s="86" t="s">
        <v>304</v>
      </c>
      <c r="F11" s="86" t="s">
        <v>294</v>
      </c>
      <c r="G11" s="86" t="s">
        <v>303</v>
      </c>
      <c r="H11" s="86" t="s">
        <v>295</v>
      </c>
      <c r="I11" s="86">
        <v>130</v>
      </c>
      <c r="J11" s="86" t="s">
        <v>296</v>
      </c>
      <c r="K11" s="147">
        <v>16.2</v>
      </c>
      <c r="L11" s="86" t="s">
        <v>297</v>
      </c>
      <c r="M11" s="148">
        <v>1050</v>
      </c>
      <c r="N11" s="86" t="s">
        <v>298</v>
      </c>
      <c r="O11" s="86">
        <v>0</v>
      </c>
      <c r="P11" s="86">
        <v>0</v>
      </c>
      <c r="Q11" s="86" t="s">
        <v>299</v>
      </c>
      <c r="R11" s="86" t="s">
        <v>103</v>
      </c>
      <c r="S11" s="86" t="s">
        <v>103</v>
      </c>
      <c r="T11" s="86" t="s">
        <v>103</v>
      </c>
      <c r="U11" s="86" t="s">
        <v>103</v>
      </c>
      <c r="V11" s="86" t="s">
        <v>103</v>
      </c>
      <c r="W11" s="147">
        <f>(I11*Z11)/2000</f>
        <v>0.14755000000000001</v>
      </c>
      <c r="X11" s="86" t="s">
        <v>103</v>
      </c>
      <c r="Y11" s="86">
        <v>1</v>
      </c>
      <c r="Z11" s="86">
        <v>2.27</v>
      </c>
      <c r="AA11" s="86" t="s">
        <v>300</v>
      </c>
      <c r="AB11" s="149" t="s">
        <v>214</v>
      </c>
    </row>
    <row r="12" spans="1:28" ht="12.75">
      <c r="A12" s="83">
        <v>3</v>
      </c>
      <c r="B12" s="86">
        <v>1291</v>
      </c>
      <c r="C12" s="86" t="s">
        <v>305</v>
      </c>
      <c r="D12" s="86">
        <v>30600106</v>
      </c>
      <c r="E12" s="86" t="s">
        <v>306</v>
      </c>
      <c r="F12" s="86" t="s">
        <v>294</v>
      </c>
      <c r="G12" s="86" t="s">
        <v>305</v>
      </c>
      <c r="H12" s="86" t="s">
        <v>295</v>
      </c>
      <c r="I12" s="86">
        <v>110</v>
      </c>
      <c r="J12" s="86" t="s">
        <v>296</v>
      </c>
      <c r="K12" s="147">
        <v>13.8</v>
      </c>
      <c r="L12" s="86" t="s">
        <v>297</v>
      </c>
      <c r="M12" s="148">
        <v>1050</v>
      </c>
      <c r="N12" s="86" t="s">
        <v>298</v>
      </c>
      <c r="O12" s="86">
        <v>0</v>
      </c>
      <c r="P12" s="86">
        <v>0</v>
      </c>
      <c r="Q12" s="86" t="s">
        <v>299</v>
      </c>
      <c r="R12" s="86" t="s">
        <v>103</v>
      </c>
      <c r="S12" s="86" t="s">
        <v>103</v>
      </c>
      <c r="T12" s="86" t="s">
        <v>103</v>
      </c>
      <c r="U12" s="86" t="s">
        <v>103</v>
      </c>
      <c r="V12" s="86" t="s">
        <v>103</v>
      </c>
      <c r="W12" s="147">
        <f>(I12*Z12)/2000</f>
        <v>0.12484999999999999</v>
      </c>
      <c r="X12" s="86" t="s">
        <v>103</v>
      </c>
      <c r="Y12" s="86">
        <v>1</v>
      </c>
      <c r="Z12" s="86">
        <v>2.27</v>
      </c>
      <c r="AA12" s="86" t="s">
        <v>300</v>
      </c>
      <c r="AB12" s="149" t="s">
        <v>214</v>
      </c>
    </row>
    <row r="13" spans="1:28" ht="12.75">
      <c r="A13" s="83">
        <v>3</v>
      </c>
      <c r="B13" s="86">
        <v>1292</v>
      </c>
      <c r="C13" s="86" t="s">
        <v>307</v>
      </c>
      <c r="D13" s="86">
        <v>30600106</v>
      </c>
      <c r="E13" s="86" t="s">
        <v>308</v>
      </c>
      <c r="F13" s="86" t="s">
        <v>294</v>
      </c>
      <c r="G13" s="86" t="s">
        <v>307</v>
      </c>
      <c r="H13" s="86" t="s">
        <v>295</v>
      </c>
      <c r="I13" s="86">
        <v>56</v>
      </c>
      <c r="J13" s="86" t="s">
        <v>296</v>
      </c>
      <c r="K13" s="147">
        <v>7</v>
      </c>
      <c r="L13" s="86" t="s">
        <v>297</v>
      </c>
      <c r="M13" s="148">
        <v>1050</v>
      </c>
      <c r="N13" s="86" t="s">
        <v>298</v>
      </c>
      <c r="O13" s="86">
        <v>0</v>
      </c>
      <c r="P13" s="86">
        <v>0</v>
      </c>
      <c r="Q13" s="86" t="s">
        <v>299</v>
      </c>
      <c r="R13" s="86" t="s">
        <v>103</v>
      </c>
      <c r="S13" s="86" t="s">
        <v>103</v>
      </c>
      <c r="T13" s="86" t="s">
        <v>103</v>
      </c>
      <c r="U13" s="86" t="s">
        <v>103</v>
      </c>
      <c r="V13" s="86" t="s">
        <v>103</v>
      </c>
      <c r="W13" s="147">
        <f>(I13*Z13)/2000</f>
        <v>0.06356</v>
      </c>
      <c r="X13" s="86" t="s">
        <v>103</v>
      </c>
      <c r="Y13" s="86">
        <v>1</v>
      </c>
      <c r="Z13" s="86">
        <v>2.27</v>
      </c>
      <c r="AA13" s="86" t="s">
        <v>300</v>
      </c>
      <c r="AB13" s="149" t="s">
        <v>214</v>
      </c>
    </row>
    <row r="14" spans="1:28" ht="12.75">
      <c r="A14" s="83">
        <v>3</v>
      </c>
      <c r="B14" s="86">
        <v>1293</v>
      </c>
      <c r="C14" s="86" t="s">
        <v>309</v>
      </c>
      <c r="D14" s="86">
        <v>30600106</v>
      </c>
      <c r="E14" s="86" t="s">
        <v>310</v>
      </c>
      <c r="F14" s="86" t="s">
        <v>294</v>
      </c>
      <c r="G14" s="86" t="s">
        <v>309</v>
      </c>
      <c r="H14" s="86" t="s">
        <v>295</v>
      </c>
      <c r="I14" s="86">
        <v>181</v>
      </c>
      <c r="J14" s="86" t="s">
        <v>296</v>
      </c>
      <c r="K14" s="147">
        <v>22.6</v>
      </c>
      <c r="L14" s="86" t="s">
        <v>297</v>
      </c>
      <c r="M14" s="148">
        <v>1050</v>
      </c>
      <c r="N14" s="86" t="s">
        <v>298</v>
      </c>
      <c r="O14" s="86">
        <v>0</v>
      </c>
      <c r="P14" s="86">
        <v>0</v>
      </c>
      <c r="Q14" s="86" t="s">
        <v>299</v>
      </c>
      <c r="R14" s="86" t="s">
        <v>103</v>
      </c>
      <c r="S14" s="86" t="s">
        <v>103</v>
      </c>
      <c r="T14" s="86" t="s">
        <v>103</v>
      </c>
      <c r="U14" s="86" t="s">
        <v>103</v>
      </c>
      <c r="V14" s="86" t="s">
        <v>103</v>
      </c>
      <c r="W14" s="147">
        <f aca="true" t="shared" si="0" ref="W14:W28">(I14*Z14)/2000</f>
        <v>0.205435</v>
      </c>
      <c r="X14" s="86" t="s">
        <v>103</v>
      </c>
      <c r="Y14" s="86">
        <v>1</v>
      </c>
      <c r="Z14" s="86">
        <v>2.27</v>
      </c>
      <c r="AA14" s="86" t="s">
        <v>300</v>
      </c>
      <c r="AB14" s="149" t="s">
        <v>214</v>
      </c>
    </row>
    <row r="15" spans="1:28" ht="12.75">
      <c r="A15" s="83">
        <v>3</v>
      </c>
      <c r="B15" s="86">
        <v>1294</v>
      </c>
      <c r="C15" s="86" t="s">
        <v>311</v>
      </c>
      <c r="D15" s="86">
        <v>30600106</v>
      </c>
      <c r="E15" s="86" t="s">
        <v>312</v>
      </c>
      <c r="F15" s="86" t="s">
        <v>294</v>
      </c>
      <c r="G15" s="86" t="s">
        <v>311</v>
      </c>
      <c r="H15" s="86" t="s">
        <v>295</v>
      </c>
      <c r="I15" s="86">
        <v>404</v>
      </c>
      <c r="J15" s="86" t="s">
        <v>296</v>
      </c>
      <c r="K15" s="147">
        <v>42.1</v>
      </c>
      <c r="L15" s="86" t="s">
        <v>297</v>
      </c>
      <c r="M15" s="148">
        <v>1050</v>
      </c>
      <c r="N15" s="86" t="s">
        <v>298</v>
      </c>
      <c r="O15" s="86">
        <v>0</v>
      </c>
      <c r="P15" s="86">
        <v>0</v>
      </c>
      <c r="Q15" s="86" t="s">
        <v>299</v>
      </c>
      <c r="R15" s="86" t="s">
        <v>103</v>
      </c>
      <c r="S15" s="86" t="s">
        <v>103</v>
      </c>
      <c r="T15" s="86" t="s">
        <v>103</v>
      </c>
      <c r="U15" s="86" t="s">
        <v>103</v>
      </c>
      <c r="V15" s="86" t="s">
        <v>103</v>
      </c>
      <c r="W15" s="147">
        <f t="shared" si="0"/>
        <v>0.45854</v>
      </c>
      <c r="X15" s="86" t="s">
        <v>103</v>
      </c>
      <c r="Y15" s="86">
        <v>1</v>
      </c>
      <c r="Z15" s="86">
        <v>2.27</v>
      </c>
      <c r="AA15" s="86" t="s">
        <v>300</v>
      </c>
      <c r="AB15" s="149" t="s">
        <v>214</v>
      </c>
    </row>
    <row r="16" spans="1:28" ht="12.75">
      <c r="A16" s="83">
        <v>3</v>
      </c>
      <c r="B16" s="86">
        <v>1295</v>
      </c>
      <c r="C16" s="86" t="s">
        <v>313</v>
      </c>
      <c r="D16" s="86">
        <v>10200701</v>
      </c>
      <c r="E16" s="86" t="s">
        <v>314</v>
      </c>
      <c r="F16" s="86" t="s">
        <v>294</v>
      </c>
      <c r="G16" s="86" t="s">
        <v>313</v>
      </c>
      <c r="H16" s="86" t="s">
        <v>295</v>
      </c>
      <c r="I16" s="86">
        <v>289</v>
      </c>
      <c r="J16" s="86" t="s">
        <v>296</v>
      </c>
      <c r="K16" s="147">
        <v>83</v>
      </c>
      <c r="L16" s="86" t="s">
        <v>297</v>
      </c>
      <c r="M16" s="148">
        <v>1050</v>
      </c>
      <c r="N16" s="86" t="s">
        <v>298</v>
      </c>
      <c r="O16" s="86">
        <v>0</v>
      </c>
      <c r="P16" s="86">
        <v>0</v>
      </c>
      <c r="Q16" s="86" t="s">
        <v>299</v>
      </c>
      <c r="R16" s="86" t="s">
        <v>103</v>
      </c>
      <c r="S16" s="86" t="s">
        <v>103</v>
      </c>
      <c r="T16" s="86" t="s">
        <v>103</v>
      </c>
      <c r="U16" s="86" t="s">
        <v>103</v>
      </c>
      <c r="V16" s="86" t="s">
        <v>103</v>
      </c>
      <c r="W16" s="147">
        <f t="shared" si="0"/>
        <v>0.328015</v>
      </c>
      <c r="X16" s="86" t="s">
        <v>103</v>
      </c>
      <c r="Y16" s="86">
        <v>1</v>
      </c>
      <c r="Z16" s="86">
        <v>2.27</v>
      </c>
      <c r="AA16" s="86" t="s">
        <v>300</v>
      </c>
      <c r="AB16" s="149" t="s">
        <v>214</v>
      </c>
    </row>
    <row r="17" spans="1:28" ht="12.75">
      <c r="A17" s="83">
        <v>3</v>
      </c>
      <c r="B17" s="86">
        <v>1296</v>
      </c>
      <c r="C17" s="86" t="s">
        <v>315</v>
      </c>
      <c r="D17" s="86">
        <v>10200701</v>
      </c>
      <c r="E17" s="86" t="s">
        <v>316</v>
      </c>
      <c r="F17" s="86" t="s">
        <v>294</v>
      </c>
      <c r="G17" s="86" t="s">
        <v>315</v>
      </c>
      <c r="H17" s="86" t="s">
        <v>295</v>
      </c>
      <c r="I17" s="86">
        <v>350</v>
      </c>
      <c r="J17" s="86" t="s">
        <v>296</v>
      </c>
      <c r="K17" s="147">
        <v>71</v>
      </c>
      <c r="L17" s="86" t="s">
        <v>297</v>
      </c>
      <c r="M17" s="148">
        <v>1050</v>
      </c>
      <c r="N17" s="86" t="s">
        <v>298</v>
      </c>
      <c r="O17" s="86">
        <v>0</v>
      </c>
      <c r="P17" s="86">
        <v>0</v>
      </c>
      <c r="Q17" s="86" t="s">
        <v>299</v>
      </c>
      <c r="R17" s="86" t="s">
        <v>103</v>
      </c>
      <c r="S17" s="86" t="s">
        <v>103</v>
      </c>
      <c r="T17" s="86" t="s">
        <v>103</v>
      </c>
      <c r="U17" s="86" t="s">
        <v>103</v>
      </c>
      <c r="V17" s="86" t="s">
        <v>103</v>
      </c>
      <c r="W17" s="147">
        <f t="shared" si="0"/>
        <v>0.39725</v>
      </c>
      <c r="X17" s="86" t="s">
        <v>103</v>
      </c>
      <c r="Y17" s="86">
        <v>1</v>
      </c>
      <c r="Z17" s="86">
        <v>2.27</v>
      </c>
      <c r="AA17" s="86" t="s">
        <v>300</v>
      </c>
      <c r="AB17" s="149" t="s">
        <v>214</v>
      </c>
    </row>
    <row r="18" spans="1:28" ht="12.75">
      <c r="A18" s="83">
        <v>3</v>
      </c>
      <c r="B18" s="86">
        <v>1297</v>
      </c>
      <c r="C18" s="86" t="s">
        <v>317</v>
      </c>
      <c r="D18" s="86">
        <v>30600106</v>
      </c>
      <c r="E18" s="86" t="s">
        <v>318</v>
      </c>
      <c r="F18" s="86" t="s">
        <v>294</v>
      </c>
      <c r="G18" s="86" t="s">
        <v>317</v>
      </c>
      <c r="H18" s="86" t="s">
        <v>295</v>
      </c>
      <c r="I18" s="86">
        <v>412</v>
      </c>
      <c r="J18" s="86" t="s">
        <v>296</v>
      </c>
      <c r="K18" s="147">
        <v>53.8</v>
      </c>
      <c r="L18" s="86" t="s">
        <v>297</v>
      </c>
      <c r="M18" s="148">
        <v>1050</v>
      </c>
      <c r="N18" s="86" t="s">
        <v>298</v>
      </c>
      <c r="O18" s="86">
        <v>0</v>
      </c>
      <c r="P18" s="86">
        <v>0</v>
      </c>
      <c r="Q18" s="86" t="s">
        <v>299</v>
      </c>
      <c r="R18" s="86" t="s">
        <v>103</v>
      </c>
      <c r="S18" s="86" t="s">
        <v>103</v>
      </c>
      <c r="T18" s="86" t="s">
        <v>103</v>
      </c>
      <c r="U18" s="86" t="s">
        <v>103</v>
      </c>
      <c r="V18" s="86" t="s">
        <v>103</v>
      </c>
      <c r="W18" s="147">
        <f t="shared" si="0"/>
        <v>0.25544</v>
      </c>
      <c r="X18" s="86" t="s">
        <v>103</v>
      </c>
      <c r="Y18" s="86">
        <v>1</v>
      </c>
      <c r="Z18" s="86">
        <v>1.24</v>
      </c>
      <c r="AA18" s="86" t="s">
        <v>300</v>
      </c>
      <c r="AB18" s="149" t="s">
        <v>214</v>
      </c>
    </row>
    <row r="19" spans="1:28" ht="12.75">
      <c r="A19" s="83">
        <v>3</v>
      </c>
      <c r="B19" s="86">
        <v>1298</v>
      </c>
      <c r="C19" s="86" t="s">
        <v>319</v>
      </c>
      <c r="D19" s="86">
        <v>30600106</v>
      </c>
      <c r="E19" s="86" t="s">
        <v>320</v>
      </c>
      <c r="F19" s="86" t="s">
        <v>294</v>
      </c>
      <c r="G19" s="86" t="s">
        <v>319</v>
      </c>
      <c r="H19" s="86" t="s">
        <v>295</v>
      </c>
      <c r="I19" s="86">
        <v>136</v>
      </c>
      <c r="J19" s="86" t="s">
        <v>296</v>
      </c>
      <c r="K19" s="147">
        <v>16.9</v>
      </c>
      <c r="L19" s="86" t="s">
        <v>297</v>
      </c>
      <c r="M19" s="148">
        <v>1050</v>
      </c>
      <c r="N19" s="86" t="s">
        <v>298</v>
      </c>
      <c r="O19" s="86">
        <v>0</v>
      </c>
      <c r="P19" s="86">
        <v>0</v>
      </c>
      <c r="Q19" s="86" t="s">
        <v>299</v>
      </c>
      <c r="R19" s="86" t="s">
        <v>103</v>
      </c>
      <c r="S19" s="86" t="s">
        <v>103</v>
      </c>
      <c r="T19" s="86" t="s">
        <v>103</v>
      </c>
      <c r="U19" s="86" t="s">
        <v>103</v>
      </c>
      <c r="V19" s="86" t="s">
        <v>103</v>
      </c>
      <c r="W19" s="147">
        <f t="shared" si="0"/>
        <v>0.08431999999999999</v>
      </c>
      <c r="X19" s="86" t="s">
        <v>103</v>
      </c>
      <c r="Y19" s="86">
        <v>1</v>
      </c>
      <c r="Z19" s="86">
        <v>1.24</v>
      </c>
      <c r="AA19" s="86" t="s">
        <v>300</v>
      </c>
      <c r="AB19" s="149" t="s">
        <v>214</v>
      </c>
    </row>
    <row r="20" spans="1:28" ht="12.75">
      <c r="A20" s="83">
        <v>3</v>
      </c>
      <c r="B20" s="86">
        <v>1299</v>
      </c>
      <c r="C20" s="86" t="s">
        <v>321</v>
      </c>
      <c r="D20" s="86">
        <v>10200701</v>
      </c>
      <c r="E20" s="86" t="s">
        <v>322</v>
      </c>
      <c r="F20" s="86" t="s">
        <v>294</v>
      </c>
      <c r="G20" s="86" t="s">
        <v>321</v>
      </c>
      <c r="H20" s="86" t="s">
        <v>295</v>
      </c>
      <c r="I20" s="86">
        <v>1646</v>
      </c>
      <c r="J20" s="86" t="s">
        <v>323</v>
      </c>
      <c r="K20" s="147">
        <v>53</v>
      </c>
      <c r="L20" s="86" t="s">
        <v>297</v>
      </c>
      <c r="M20" s="148">
        <v>1050</v>
      </c>
      <c r="N20" s="86" t="s">
        <v>298</v>
      </c>
      <c r="O20" s="86">
        <v>0</v>
      </c>
      <c r="P20" s="86">
        <v>0</v>
      </c>
      <c r="Q20" s="86" t="s">
        <v>299</v>
      </c>
      <c r="R20" s="86" t="s">
        <v>103</v>
      </c>
      <c r="S20" s="86" t="s">
        <v>103</v>
      </c>
      <c r="T20" s="86" t="s">
        <v>103</v>
      </c>
      <c r="U20" s="86" t="s">
        <v>103</v>
      </c>
      <c r="V20" s="86" t="s">
        <v>103</v>
      </c>
      <c r="W20" s="147">
        <f>(Z20*I20/2000)*(0.213/0.106)</f>
        <v>120.5594066037736</v>
      </c>
      <c r="X20" s="86" t="s">
        <v>103</v>
      </c>
      <c r="Y20" s="86">
        <v>1</v>
      </c>
      <c r="Z20" s="86">
        <v>72.9</v>
      </c>
      <c r="AA20" s="86" t="s">
        <v>324</v>
      </c>
      <c r="AB20" s="149" t="s">
        <v>214</v>
      </c>
    </row>
    <row r="21" spans="1:28" ht="12.75">
      <c r="A21" s="83">
        <v>3</v>
      </c>
      <c r="B21" s="86">
        <v>1300</v>
      </c>
      <c r="C21" s="86" t="s">
        <v>325</v>
      </c>
      <c r="D21" s="86">
        <v>10200701</v>
      </c>
      <c r="E21" s="86" t="s">
        <v>326</v>
      </c>
      <c r="F21" s="86" t="s">
        <v>294</v>
      </c>
      <c r="G21" s="86" t="s">
        <v>325</v>
      </c>
      <c r="H21" s="86" t="s">
        <v>295</v>
      </c>
      <c r="I21" s="86">
        <v>340</v>
      </c>
      <c r="J21" s="86" t="s">
        <v>296</v>
      </c>
      <c r="K21" s="86">
        <v>42</v>
      </c>
      <c r="L21" s="86" t="s">
        <v>297</v>
      </c>
      <c r="M21" s="148">
        <v>1050</v>
      </c>
      <c r="N21" s="86" t="s">
        <v>298</v>
      </c>
      <c r="O21" s="86">
        <v>0</v>
      </c>
      <c r="P21" s="86">
        <v>0</v>
      </c>
      <c r="Q21" s="86" t="s">
        <v>299</v>
      </c>
      <c r="R21" s="86" t="s">
        <v>103</v>
      </c>
      <c r="S21" s="86" t="s">
        <v>103</v>
      </c>
      <c r="T21" s="86" t="s">
        <v>103</v>
      </c>
      <c r="U21" s="86" t="s">
        <v>103</v>
      </c>
      <c r="V21" s="86" t="s">
        <v>103</v>
      </c>
      <c r="W21" s="147">
        <f t="shared" si="0"/>
        <v>0.21080000000000002</v>
      </c>
      <c r="X21" s="86" t="s">
        <v>103</v>
      </c>
      <c r="Y21" s="86">
        <v>1</v>
      </c>
      <c r="Z21" s="86">
        <v>1.24</v>
      </c>
      <c r="AA21" s="86" t="s">
        <v>300</v>
      </c>
      <c r="AB21" s="149" t="s">
        <v>214</v>
      </c>
    </row>
    <row r="22" spans="1:28" ht="12.75">
      <c r="A22" s="83">
        <v>3</v>
      </c>
      <c r="B22" s="86">
        <v>1301</v>
      </c>
      <c r="C22" s="86" t="s">
        <v>327</v>
      </c>
      <c r="D22" s="86">
        <v>30600904</v>
      </c>
      <c r="E22" s="86" t="s">
        <v>328</v>
      </c>
      <c r="F22" s="86" t="s">
        <v>294</v>
      </c>
      <c r="G22" s="86" t="s">
        <v>327</v>
      </c>
      <c r="H22" s="86" t="s">
        <v>295</v>
      </c>
      <c r="I22" s="86">
        <v>1</v>
      </c>
      <c r="J22" s="86" t="s">
        <v>296</v>
      </c>
      <c r="K22" s="86">
        <v>1</v>
      </c>
      <c r="L22" s="86" t="s">
        <v>297</v>
      </c>
      <c r="M22" s="148">
        <v>1050</v>
      </c>
      <c r="N22" s="86" t="s">
        <v>298</v>
      </c>
      <c r="O22" s="86">
        <v>0</v>
      </c>
      <c r="P22" s="86">
        <v>0</v>
      </c>
      <c r="Q22" s="86" t="s">
        <v>299</v>
      </c>
      <c r="R22" s="86" t="s">
        <v>103</v>
      </c>
      <c r="S22" s="86" t="s">
        <v>103</v>
      </c>
      <c r="T22" s="86" t="s">
        <v>103</v>
      </c>
      <c r="U22" s="86" t="s">
        <v>103</v>
      </c>
      <c r="V22" s="86" t="s">
        <v>103</v>
      </c>
      <c r="W22" s="147">
        <v>2.41</v>
      </c>
      <c r="X22" s="86" t="s">
        <v>103</v>
      </c>
      <c r="Y22" s="86">
        <v>2</v>
      </c>
      <c r="Z22" s="86">
        <v>1.5</v>
      </c>
      <c r="AA22" s="86" t="s">
        <v>329</v>
      </c>
      <c r="AB22" s="149" t="s">
        <v>330</v>
      </c>
    </row>
    <row r="23" spans="1:28" ht="12.75">
      <c r="A23" s="83">
        <v>3</v>
      </c>
      <c r="B23" s="86">
        <v>1303</v>
      </c>
      <c r="C23" s="86" t="s">
        <v>331</v>
      </c>
      <c r="D23" s="86">
        <v>30600202</v>
      </c>
      <c r="E23" s="86" t="s">
        <v>332</v>
      </c>
      <c r="F23" s="86" t="s">
        <v>294</v>
      </c>
      <c r="G23" s="86" t="s">
        <v>331</v>
      </c>
      <c r="H23" s="86" t="s">
        <v>333</v>
      </c>
      <c r="I23" s="150">
        <v>5938</v>
      </c>
      <c r="J23" s="86" t="s">
        <v>296</v>
      </c>
      <c r="K23" s="150">
        <v>13000</v>
      </c>
      <c r="L23" s="86" t="s">
        <v>334</v>
      </c>
      <c r="M23" s="148" t="s">
        <v>103</v>
      </c>
      <c r="N23" s="86" t="s">
        <v>103</v>
      </c>
      <c r="O23" s="86" t="s">
        <v>103</v>
      </c>
      <c r="P23" s="86" t="s">
        <v>103</v>
      </c>
      <c r="Q23" s="86" t="s">
        <v>299</v>
      </c>
      <c r="R23" s="86" t="s">
        <v>103</v>
      </c>
      <c r="S23" s="86" t="s">
        <v>103</v>
      </c>
      <c r="T23" s="86" t="s">
        <v>103</v>
      </c>
      <c r="U23" s="86" t="s">
        <v>103</v>
      </c>
      <c r="V23" s="86" t="s">
        <v>103</v>
      </c>
      <c r="W23" s="147" t="s">
        <v>103</v>
      </c>
      <c r="X23" s="86" t="s">
        <v>103</v>
      </c>
      <c r="Y23" s="86" t="s">
        <v>103</v>
      </c>
      <c r="Z23" s="86" t="s">
        <v>103</v>
      </c>
      <c r="AA23" s="86" t="s">
        <v>103</v>
      </c>
      <c r="AB23" s="149"/>
    </row>
    <row r="24" spans="1:28" ht="12.75">
      <c r="A24" s="83">
        <v>3</v>
      </c>
      <c r="B24" s="86">
        <v>1304</v>
      </c>
      <c r="C24" s="86" t="s">
        <v>335</v>
      </c>
      <c r="D24" s="86">
        <v>20200202</v>
      </c>
      <c r="E24" s="86" t="s">
        <v>336</v>
      </c>
      <c r="F24" s="86" t="s">
        <v>294</v>
      </c>
      <c r="G24" s="86" t="s">
        <v>335</v>
      </c>
      <c r="H24" s="86" t="s">
        <v>295</v>
      </c>
      <c r="I24" s="86">
        <v>0.6</v>
      </c>
      <c r="J24" s="86" t="s">
        <v>296</v>
      </c>
      <c r="K24" s="150">
        <v>1520</v>
      </c>
      <c r="L24" s="86" t="s">
        <v>297</v>
      </c>
      <c r="M24" s="148">
        <v>1050</v>
      </c>
      <c r="N24" s="86" t="s">
        <v>298</v>
      </c>
      <c r="O24" s="86">
        <v>0</v>
      </c>
      <c r="P24" s="86">
        <v>0</v>
      </c>
      <c r="Q24" s="86" t="s">
        <v>299</v>
      </c>
      <c r="R24" s="86" t="s">
        <v>103</v>
      </c>
      <c r="S24" s="86" t="s">
        <v>103</v>
      </c>
      <c r="T24" s="86" t="s">
        <v>103</v>
      </c>
      <c r="U24" s="86" t="s">
        <v>103</v>
      </c>
      <c r="V24" s="86" t="s">
        <v>103</v>
      </c>
      <c r="W24" s="147">
        <f t="shared" si="0"/>
        <v>0.000372</v>
      </c>
      <c r="X24" s="86" t="s">
        <v>103</v>
      </c>
      <c r="Y24" s="86">
        <v>1</v>
      </c>
      <c r="Z24" s="86">
        <v>1.24</v>
      </c>
      <c r="AA24" s="86" t="s">
        <v>300</v>
      </c>
      <c r="AB24" s="149" t="s">
        <v>214</v>
      </c>
    </row>
    <row r="25" spans="1:28" ht="12.75">
      <c r="A25" s="83">
        <v>3</v>
      </c>
      <c r="B25" s="86">
        <v>2645</v>
      </c>
      <c r="C25" s="86" t="s">
        <v>337</v>
      </c>
      <c r="D25" s="86">
        <v>30600106</v>
      </c>
      <c r="E25" s="86" t="s">
        <v>338</v>
      </c>
      <c r="F25" s="86" t="s">
        <v>294</v>
      </c>
      <c r="G25" s="86" t="s">
        <v>337</v>
      </c>
      <c r="H25" s="86" t="s">
        <v>295</v>
      </c>
      <c r="I25" s="86">
        <v>1</v>
      </c>
      <c r="J25" s="86" t="s">
        <v>296</v>
      </c>
      <c r="K25" s="86">
        <v>2.9</v>
      </c>
      <c r="L25" s="86" t="s">
        <v>297</v>
      </c>
      <c r="M25" s="148">
        <v>1050</v>
      </c>
      <c r="N25" s="86" t="s">
        <v>298</v>
      </c>
      <c r="O25" s="86">
        <v>0</v>
      </c>
      <c r="P25" s="86">
        <v>0</v>
      </c>
      <c r="Q25" s="86" t="s">
        <v>299</v>
      </c>
      <c r="R25" s="86" t="s">
        <v>103</v>
      </c>
      <c r="S25" s="86" t="s">
        <v>103</v>
      </c>
      <c r="T25" s="86" t="s">
        <v>103</v>
      </c>
      <c r="U25" s="86" t="s">
        <v>103</v>
      </c>
      <c r="V25" s="86" t="s">
        <v>103</v>
      </c>
      <c r="W25" s="147">
        <v>86.46</v>
      </c>
      <c r="X25" s="86">
        <v>38.25</v>
      </c>
      <c r="Y25" s="86">
        <v>2</v>
      </c>
      <c r="Z25" s="86">
        <v>1.5</v>
      </c>
      <c r="AA25" s="86" t="s">
        <v>329</v>
      </c>
      <c r="AB25" s="149" t="s">
        <v>330</v>
      </c>
    </row>
    <row r="26" spans="1:28" ht="12.75">
      <c r="A26" s="83">
        <v>3</v>
      </c>
      <c r="B26" s="86">
        <v>2646</v>
      </c>
      <c r="C26" s="86" t="s">
        <v>339</v>
      </c>
      <c r="D26" s="86">
        <v>30600106</v>
      </c>
      <c r="E26" s="86" t="s">
        <v>340</v>
      </c>
      <c r="F26" s="86" t="s">
        <v>294</v>
      </c>
      <c r="G26" s="86" t="s">
        <v>339</v>
      </c>
      <c r="H26" s="86" t="s">
        <v>295</v>
      </c>
      <c r="I26" s="86">
        <v>29</v>
      </c>
      <c r="J26" s="86" t="s">
        <v>296</v>
      </c>
      <c r="K26" s="86">
        <v>3.8</v>
      </c>
      <c r="L26" s="86" t="s">
        <v>297</v>
      </c>
      <c r="M26" s="148">
        <v>1050</v>
      </c>
      <c r="N26" s="86" t="s">
        <v>298</v>
      </c>
      <c r="O26" s="86">
        <v>0</v>
      </c>
      <c r="P26" s="86">
        <v>0</v>
      </c>
      <c r="Q26" s="86" t="s">
        <v>299</v>
      </c>
      <c r="R26" s="86" t="s">
        <v>103</v>
      </c>
      <c r="S26" s="86" t="s">
        <v>103</v>
      </c>
      <c r="T26" s="86" t="s">
        <v>103</v>
      </c>
      <c r="U26" s="86" t="s">
        <v>103</v>
      </c>
      <c r="V26" s="86" t="s">
        <v>103</v>
      </c>
      <c r="W26" s="147">
        <f t="shared" si="0"/>
        <v>0.01798</v>
      </c>
      <c r="X26" s="86" t="s">
        <v>103</v>
      </c>
      <c r="Y26" s="86">
        <v>1</v>
      </c>
      <c r="Z26" s="86">
        <v>1.24</v>
      </c>
      <c r="AA26" s="86" t="s">
        <v>300</v>
      </c>
      <c r="AB26" s="149" t="s">
        <v>214</v>
      </c>
    </row>
    <row r="27" spans="1:28" ht="12.75">
      <c r="A27" s="83">
        <v>3</v>
      </c>
      <c r="B27" s="86">
        <v>2647</v>
      </c>
      <c r="C27" s="86" t="s">
        <v>341</v>
      </c>
      <c r="D27" s="86">
        <v>30600106</v>
      </c>
      <c r="E27" s="86" t="s">
        <v>342</v>
      </c>
      <c r="F27" s="86" t="s">
        <v>294</v>
      </c>
      <c r="G27" s="86" t="s">
        <v>341</v>
      </c>
      <c r="H27" s="86" t="s">
        <v>295</v>
      </c>
      <c r="I27" s="86">
        <v>24</v>
      </c>
      <c r="J27" s="86" t="s">
        <v>296</v>
      </c>
      <c r="K27" s="86">
        <v>2.2</v>
      </c>
      <c r="L27" s="86" t="s">
        <v>297</v>
      </c>
      <c r="M27" s="148">
        <v>1050</v>
      </c>
      <c r="N27" s="86" t="s">
        <v>298</v>
      </c>
      <c r="O27" s="86">
        <v>0</v>
      </c>
      <c r="P27" s="86">
        <v>0</v>
      </c>
      <c r="Q27" s="86" t="s">
        <v>299</v>
      </c>
      <c r="R27" s="86" t="s">
        <v>103</v>
      </c>
      <c r="S27" s="86" t="s">
        <v>103</v>
      </c>
      <c r="T27" s="86" t="s">
        <v>103</v>
      </c>
      <c r="U27" s="86" t="s">
        <v>103</v>
      </c>
      <c r="V27" s="86" t="s">
        <v>103</v>
      </c>
      <c r="W27" s="147">
        <f t="shared" si="0"/>
        <v>0.014879999999999999</v>
      </c>
      <c r="X27" s="86" t="s">
        <v>103</v>
      </c>
      <c r="Y27" s="86">
        <v>1</v>
      </c>
      <c r="Z27" s="86">
        <v>1.24</v>
      </c>
      <c r="AA27" s="86" t="s">
        <v>300</v>
      </c>
      <c r="AB27" s="149" t="s">
        <v>214</v>
      </c>
    </row>
    <row r="28" spans="1:28" ht="12.75">
      <c r="A28" s="83">
        <v>3</v>
      </c>
      <c r="B28" s="86">
        <v>2648</v>
      </c>
      <c r="C28" s="86" t="s">
        <v>343</v>
      </c>
      <c r="D28" s="86">
        <v>30600106</v>
      </c>
      <c r="E28" s="86" t="s">
        <v>344</v>
      </c>
      <c r="F28" s="86" t="s">
        <v>294</v>
      </c>
      <c r="G28" s="86" t="s">
        <v>343</v>
      </c>
      <c r="H28" s="86" t="s">
        <v>295</v>
      </c>
      <c r="I28" s="86">
        <v>49</v>
      </c>
      <c r="J28" s="86" t="s">
        <v>296</v>
      </c>
      <c r="K28" s="86">
        <v>6.6</v>
      </c>
      <c r="L28" s="86" t="s">
        <v>297</v>
      </c>
      <c r="M28" s="148">
        <v>1050</v>
      </c>
      <c r="N28" s="86" t="s">
        <v>298</v>
      </c>
      <c r="O28" s="86">
        <v>0</v>
      </c>
      <c r="P28" s="86">
        <v>0</v>
      </c>
      <c r="Q28" s="86" t="s">
        <v>299</v>
      </c>
      <c r="R28" s="86" t="s">
        <v>103</v>
      </c>
      <c r="S28" s="86" t="s">
        <v>103</v>
      </c>
      <c r="T28" s="86" t="s">
        <v>103</v>
      </c>
      <c r="U28" s="86" t="s">
        <v>103</v>
      </c>
      <c r="V28" s="86" t="s">
        <v>103</v>
      </c>
      <c r="W28" s="147">
        <f t="shared" si="0"/>
        <v>0.030379999999999997</v>
      </c>
      <c r="X28" s="86" t="s">
        <v>103</v>
      </c>
      <c r="Y28" s="86">
        <v>1</v>
      </c>
      <c r="Z28" s="86">
        <v>1.24</v>
      </c>
      <c r="AA28" s="86" t="s">
        <v>300</v>
      </c>
      <c r="AB28" s="149" t="s">
        <v>214</v>
      </c>
    </row>
    <row r="29" spans="1:28" ht="13.5" thickBot="1">
      <c r="A29" s="88">
        <v>3</v>
      </c>
      <c r="B29" s="91">
        <v>2649</v>
      </c>
      <c r="C29" s="91" t="s">
        <v>345</v>
      </c>
      <c r="D29" s="91">
        <v>30609904</v>
      </c>
      <c r="E29" s="91" t="s">
        <v>346</v>
      </c>
      <c r="F29" s="91" t="s">
        <v>294</v>
      </c>
      <c r="G29" s="91" t="s">
        <v>345</v>
      </c>
      <c r="H29" s="91" t="s">
        <v>295</v>
      </c>
      <c r="I29" s="91">
        <v>6</v>
      </c>
      <c r="J29" s="91" t="s">
        <v>296</v>
      </c>
      <c r="K29" s="91">
        <v>3</v>
      </c>
      <c r="L29" s="91" t="s">
        <v>297</v>
      </c>
      <c r="M29" s="151">
        <v>1050</v>
      </c>
      <c r="N29" s="91" t="s">
        <v>298</v>
      </c>
      <c r="O29" s="91">
        <v>0</v>
      </c>
      <c r="P29" s="91">
        <v>0</v>
      </c>
      <c r="Q29" s="91" t="s">
        <v>299</v>
      </c>
      <c r="R29" s="91" t="s">
        <v>103</v>
      </c>
      <c r="S29" s="91" t="s">
        <v>103</v>
      </c>
      <c r="T29" s="91" t="s">
        <v>103</v>
      </c>
      <c r="U29" s="91" t="s">
        <v>103</v>
      </c>
      <c r="V29" s="91" t="s">
        <v>103</v>
      </c>
      <c r="W29" s="152">
        <v>87.64</v>
      </c>
      <c r="X29" s="152">
        <v>0.6</v>
      </c>
      <c r="Y29" s="91">
        <v>1</v>
      </c>
      <c r="Z29" s="91">
        <v>1.24</v>
      </c>
      <c r="AA29" s="91" t="s">
        <v>300</v>
      </c>
      <c r="AB29" s="153" t="s">
        <v>214</v>
      </c>
    </row>
    <row r="30" spans="1:28" ht="13.5" thickBo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54"/>
      <c r="N30" s="9"/>
      <c r="O30" s="9"/>
      <c r="P30" s="9"/>
      <c r="Q30" s="9"/>
      <c r="R30" s="9"/>
      <c r="S30" s="9"/>
      <c r="T30" s="9"/>
      <c r="U30" s="9"/>
      <c r="V30" s="155" t="s">
        <v>86</v>
      </c>
      <c r="W30" s="156">
        <f>SUM(W9:W29)</f>
        <v>299.9376886037736</v>
      </c>
      <c r="X30" s="9"/>
      <c r="Y30" s="9"/>
      <c r="Z30" s="9"/>
      <c r="AA30" s="9"/>
      <c r="AB30" s="9"/>
    </row>
    <row r="31" spans="1:28" ht="13.5" thickTop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54"/>
      <c r="N31" s="9"/>
      <c r="O31" s="9"/>
      <c r="P31" s="9"/>
      <c r="Q31" s="9"/>
      <c r="R31" s="9"/>
      <c r="S31" s="9"/>
      <c r="T31" s="9"/>
      <c r="U31" s="9"/>
      <c r="V31" s="9"/>
      <c r="W31" s="157"/>
      <c r="X31" s="9"/>
      <c r="Y31" s="9"/>
      <c r="Z31" s="9"/>
      <c r="AA31" s="9"/>
      <c r="AB31" s="9"/>
    </row>
    <row r="32" spans="2:13" ht="12.75">
      <c r="B32" s="158"/>
      <c r="C32" s="159" t="s">
        <v>221</v>
      </c>
      <c r="E32" s="160"/>
      <c r="M32" s="161"/>
    </row>
    <row r="33" spans="5:13" ht="12.75">
      <c r="E33" s="162"/>
      <c r="M33" s="161"/>
    </row>
    <row r="34" spans="5:13" ht="12.75">
      <c r="E34" s="163"/>
      <c r="M34" s="161"/>
    </row>
    <row r="35" ht="12.75">
      <c r="C35" t="s">
        <v>347</v>
      </c>
    </row>
    <row r="36" ht="12.75">
      <c r="C36" t="s">
        <v>348</v>
      </c>
    </row>
    <row r="37" ht="12.75">
      <c r="C37" s="158" t="s">
        <v>349</v>
      </c>
    </row>
  </sheetData>
  <mergeCells count="24">
    <mergeCell ref="T7:T8"/>
    <mergeCell ref="U7:U8"/>
    <mergeCell ref="A6:A8"/>
    <mergeCell ref="B6:B8"/>
    <mergeCell ref="C6:C8"/>
    <mergeCell ref="D6:D8"/>
    <mergeCell ref="E6:E8"/>
    <mergeCell ref="F6:F8"/>
    <mergeCell ref="G6:G8"/>
    <mergeCell ref="H6:H8"/>
    <mergeCell ref="I6:L7"/>
    <mergeCell ref="M6:P7"/>
    <mergeCell ref="X6:X8"/>
    <mergeCell ref="Y6:Y8"/>
    <mergeCell ref="Q6:Q8"/>
    <mergeCell ref="R6:S6"/>
    <mergeCell ref="T6:U6"/>
    <mergeCell ref="V6:V8"/>
    <mergeCell ref="R7:R8"/>
    <mergeCell ref="S7:S8"/>
    <mergeCell ref="Z6:Z8"/>
    <mergeCell ref="AA6:AA8"/>
    <mergeCell ref="AB6:AB8"/>
    <mergeCell ref="W6:W8"/>
  </mergeCells>
  <printOptions horizontalCentered="1"/>
  <pageMargins left="0.25" right="0.75" top="1.36" bottom="0.99" header="0.5" footer="0.5"/>
  <pageSetup horizontalDpi="600" verticalDpi="600" orientation="landscape" r:id="rId1"/>
  <headerFooter alignWithMargins="0">
    <oddHeader>&amp;L
Flying J Inc.
Site Name:  Flying J Refinery
Site ID:  10122&amp;CRegional Haze
2000 Statewide SOx Sources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N48"/>
  <sheetViews>
    <sheetView workbookViewId="0" topLeftCell="A1">
      <selection activeCell="D3" sqref="D3"/>
    </sheetView>
  </sheetViews>
  <sheetFormatPr defaultColWidth="9.140625" defaultRowHeight="12.75"/>
  <cols>
    <col min="1" max="2" width="7.7109375" style="0" customWidth="1"/>
    <col min="3" max="3" width="9.7109375" style="0" customWidth="1"/>
    <col min="4" max="4" width="9.57421875" style="0" customWidth="1"/>
    <col min="5" max="5" width="50.7109375" style="0" customWidth="1"/>
    <col min="6" max="6" width="7.7109375" style="0" customWidth="1"/>
    <col min="7" max="7" width="11.140625" style="0" customWidth="1"/>
    <col min="8" max="8" width="16.7109375" style="0" customWidth="1"/>
    <col min="18" max="18" width="17.00390625" style="0" customWidth="1"/>
    <col min="20" max="20" width="19.8515625" style="0" customWidth="1"/>
    <col min="22" max="22" width="10.57421875" style="0" customWidth="1"/>
    <col min="23" max="24" width="11.7109375" style="0" customWidth="1"/>
    <col min="27" max="27" width="10.7109375" style="0" customWidth="1"/>
    <col min="28" max="28" width="44.7109375" style="0" customWidth="1"/>
  </cols>
  <sheetData>
    <row r="1" spans="1:5" ht="15.75">
      <c r="A1" s="96" t="s">
        <v>353</v>
      </c>
      <c r="B1" s="59"/>
      <c r="E1" s="4" t="s">
        <v>1</v>
      </c>
    </row>
    <row r="2" spans="1:5" ht="15">
      <c r="A2" s="59"/>
      <c r="B2" s="59"/>
      <c r="E2" s="5" t="s">
        <v>95</v>
      </c>
    </row>
    <row r="3" spans="1:2" ht="12.75">
      <c r="A3" s="96" t="s">
        <v>2</v>
      </c>
      <c r="B3" s="96" t="s">
        <v>354</v>
      </c>
    </row>
    <row r="4" spans="1:2" ht="12.75">
      <c r="A4" s="61">
        <v>10796</v>
      </c>
      <c r="B4" s="96" t="s">
        <v>355</v>
      </c>
    </row>
    <row r="5" spans="1:2" ht="12.75">
      <c r="A5" s="61"/>
      <c r="B5" t="s">
        <v>356</v>
      </c>
    </row>
    <row r="6" spans="1:2" ht="12.75">
      <c r="A6" s="61"/>
      <c r="B6" t="s">
        <v>357</v>
      </c>
    </row>
    <row r="7" ht="13.5" thickBot="1"/>
    <row r="8" spans="1:66" ht="16.5" customHeight="1">
      <c r="A8" s="451" t="s">
        <v>5</v>
      </c>
      <c r="B8" s="453" t="s">
        <v>6</v>
      </c>
      <c r="C8" s="367" t="s">
        <v>7</v>
      </c>
      <c r="D8" s="367" t="s">
        <v>8</v>
      </c>
      <c r="E8" s="367" t="s">
        <v>9</v>
      </c>
      <c r="F8" s="367" t="s">
        <v>10</v>
      </c>
      <c r="G8" s="367" t="s">
        <v>11</v>
      </c>
      <c r="H8" s="367" t="s">
        <v>12</v>
      </c>
      <c r="I8" s="455" t="s">
        <v>13</v>
      </c>
      <c r="J8" s="456"/>
      <c r="K8" s="456"/>
      <c r="L8" s="457"/>
      <c r="M8" s="461" t="s">
        <v>14</v>
      </c>
      <c r="N8" s="456"/>
      <c r="O8" s="456"/>
      <c r="P8" s="462"/>
      <c r="Q8" s="367" t="s">
        <v>15</v>
      </c>
      <c r="R8" s="465" t="s">
        <v>16</v>
      </c>
      <c r="S8" s="448"/>
      <c r="T8" s="465" t="s">
        <v>17</v>
      </c>
      <c r="U8" s="448"/>
      <c r="V8" s="367" t="s">
        <v>18</v>
      </c>
      <c r="W8" s="468" t="s">
        <v>99</v>
      </c>
      <c r="X8" s="367" t="s">
        <v>100</v>
      </c>
      <c r="Y8" s="367" t="s">
        <v>21</v>
      </c>
      <c r="Z8" s="367" t="s">
        <v>22</v>
      </c>
      <c r="AA8" s="367" t="s">
        <v>23</v>
      </c>
      <c r="AB8" s="466" t="s">
        <v>24</v>
      </c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</row>
    <row r="9" spans="1:66" s="9" customFormat="1" ht="24.75" customHeight="1">
      <c r="A9" s="452"/>
      <c r="B9" s="454"/>
      <c r="C9" s="450"/>
      <c r="D9" s="450"/>
      <c r="E9" s="450"/>
      <c r="F9" s="450"/>
      <c r="G9" s="450"/>
      <c r="H9" s="450"/>
      <c r="I9" s="458"/>
      <c r="J9" s="459"/>
      <c r="K9" s="459"/>
      <c r="L9" s="460"/>
      <c r="M9" s="463"/>
      <c r="N9" s="459"/>
      <c r="O9" s="459"/>
      <c r="P9" s="464"/>
      <c r="Q9" s="450"/>
      <c r="R9" s="377" t="s">
        <v>29</v>
      </c>
      <c r="S9" s="377" t="s">
        <v>30</v>
      </c>
      <c r="T9" s="377" t="s">
        <v>101</v>
      </c>
      <c r="U9" s="377" t="s">
        <v>30</v>
      </c>
      <c r="V9" s="450"/>
      <c r="W9" s="469"/>
      <c r="X9" s="450"/>
      <c r="Y9" s="450"/>
      <c r="Z9" s="450"/>
      <c r="AA9" s="450"/>
      <c r="AB9" s="467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</row>
    <row r="10" spans="1:66" ht="25.5" customHeight="1" thickBot="1">
      <c r="A10" s="452"/>
      <c r="B10" s="454"/>
      <c r="C10" s="450"/>
      <c r="D10" s="450"/>
      <c r="E10" s="450"/>
      <c r="F10" s="450"/>
      <c r="G10" s="450"/>
      <c r="H10" s="450"/>
      <c r="I10" s="58" t="s">
        <v>32</v>
      </c>
      <c r="J10" s="164" t="s">
        <v>33</v>
      </c>
      <c r="K10" s="58" t="s">
        <v>34</v>
      </c>
      <c r="L10" s="111" t="s">
        <v>26</v>
      </c>
      <c r="M10" s="143" t="s">
        <v>25</v>
      </c>
      <c r="N10" s="58" t="s">
        <v>26</v>
      </c>
      <c r="O10" s="58" t="s">
        <v>27</v>
      </c>
      <c r="P10" s="58" t="s">
        <v>28</v>
      </c>
      <c r="Q10" s="450"/>
      <c r="R10" s="450"/>
      <c r="S10" s="450"/>
      <c r="T10" s="450"/>
      <c r="U10" s="450"/>
      <c r="V10" s="450"/>
      <c r="W10" s="469"/>
      <c r="X10" s="450"/>
      <c r="Y10" s="450"/>
      <c r="Z10" s="450"/>
      <c r="AA10" s="450"/>
      <c r="AB10" s="46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</row>
    <row r="11" spans="1:28" ht="12.75">
      <c r="A11" s="98">
        <v>3</v>
      </c>
      <c r="B11" s="99">
        <v>2604</v>
      </c>
      <c r="C11" s="113" t="s">
        <v>358</v>
      </c>
      <c r="D11" s="101">
        <v>30300315</v>
      </c>
      <c r="E11" s="113" t="s">
        <v>359</v>
      </c>
      <c r="F11" s="101" t="s">
        <v>38</v>
      </c>
      <c r="G11" s="101" t="s">
        <v>103</v>
      </c>
      <c r="H11" s="100" t="s">
        <v>360</v>
      </c>
      <c r="I11" s="113">
        <v>8784</v>
      </c>
      <c r="J11" s="113" t="s">
        <v>69</v>
      </c>
      <c r="K11" s="99" t="s">
        <v>103</v>
      </c>
      <c r="L11" s="113" t="s">
        <v>103</v>
      </c>
      <c r="M11" s="99" t="s">
        <v>103</v>
      </c>
      <c r="N11" s="113" t="s">
        <v>103</v>
      </c>
      <c r="O11" s="101" t="s">
        <v>103</v>
      </c>
      <c r="P11" s="101" t="s">
        <v>103</v>
      </c>
      <c r="Q11" s="101" t="s">
        <v>103</v>
      </c>
      <c r="R11" s="101" t="s">
        <v>358</v>
      </c>
      <c r="S11" s="101">
        <v>45</v>
      </c>
      <c r="T11" s="101" t="s">
        <v>103</v>
      </c>
      <c r="U11" s="101" t="s">
        <v>103</v>
      </c>
      <c r="V11" s="101">
        <v>93</v>
      </c>
      <c r="W11" s="102">
        <f>I11*Z11/2000</f>
        <v>343.8936</v>
      </c>
      <c r="X11" s="101">
        <v>0.12038</v>
      </c>
      <c r="Y11" s="101">
        <v>1</v>
      </c>
      <c r="Z11" s="113">
        <v>78.3</v>
      </c>
      <c r="AA11" s="113" t="s">
        <v>49</v>
      </c>
      <c r="AB11" s="115" t="s">
        <v>361</v>
      </c>
    </row>
    <row r="12" spans="1:28" ht="12.75">
      <c r="A12" s="83">
        <v>3</v>
      </c>
      <c r="B12" s="84">
        <v>2604</v>
      </c>
      <c r="C12" s="116" t="s">
        <v>358</v>
      </c>
      <c r="D12" s="86">
        <v>30300315</v>
      </c>
      <c r="E12" s="116" t="s">
        <v>362</v>
      </c>
      <c r="F12" s="86" t="s">
        <v>38</v>
      </c>
      <c r="G12" s="86" t="s">
        <v>103</v>
      </c>
      <c r="H12" s="85" t="s">
        <v>360</v>
      </c>
      <c r="I12" s="116">
        <v>8784</v>
      </c>
      <c r="J12" s="116" t="s">
        <v>69</v>
      </c>
      <c r="K12" s="84" t="s">
        <v>103</v>
      </c>
      <c r="L12" s="116" t="s">
        <v>103</v>
      </c>
      <c r="M12" s="84" t="s">
        <v>103</v>
      </c>
      <c r="N12" s="116" t="s">
        <v>103</v>
      </c>
      <c r="O12" s="86" t="s">
        <v>103</v>
      </c>
      <c r="P12" s="86" t="s">
        <v>103</v>
      </c>
      <c r="Q12" s="86" t="s">
        <v>103</v>
      </c>
      <c r="R12" s="86" t="s">
        <v>103</v>
      </c>
      <c r="S12" s="86" t="s">
        <v>103</v>
      </c>
      <c r="T12" s="86" t="s">
        <v>103</v>
      </c>
      <c r="U12" s="86" t="s">
        <v>103</v>
      </c>
      <c r="V12" s="86" t="s">
        <v>103</v>
      </c>
      <c r="W12" s="104">
        <f>I12*Z12/2000</f>
        <v>140.544</v>
      </c>
      <c r="X12" s="86" t="s">
        <v>103</v>
      </c>
      <c r="Y12" s="86">
        <v>1</v>
      </c>
      <c r="Z12" s="116">
        <v>32</v>
      </c>
      <c r="AA12" s="116" t="s">
        <v>49</v>
      </c>
      <c r="AB12" s="118" t="s">
        <v>363</v>
      </c>
    </row>
    <row r="13" spans="1:28" ht="12.75">
      <c r="A13" s="83">
        <v>3</v>
      </c>
      <c r="B13" s="84">
        <v>2604</v>
      </c>
      <c r="C13" s="116" t="s">
        <v>358</v>
      </c>
      <c r="D13" s="86">
        <v>30300315</v>
      </c>
      <c r="E13" s="116" t="s">
        <v>364</v>
      </c>
      <c r="F13" s="86" t="s">
        <v>38</v>
      </c>
      <c r="G13" s="86" t="s">
        <v>103</v>
      </c>
      <c r="H13" s="85" t="s">
        <v>360</v>
      </c>
      <c r="I13" s="116">
        <v>8784</v>
      </c>
      <c r="J13" s="116" t="s">
        <v>69</v>
      </c>
      <c r="K13" s="84" t="s">
        <v>103</v>
      </c>
      <c r="L13" s="116" t="s">
        <v>103</v>
      </c>
      <c r="M13" s="84" t="s">
        <v>103</v>
      </c>
      <c r="N13" s="116" t="s">
        <v>103</v>
      </c>
      <c r="O13" s="86" t="s">
        <v>103</v>
      </c>
      <c r="P13" s="86" t="s">
        <v>103</v>
      </c>
      <c r="Q13" s="86" t="s">
        <v>103</v>
      </c>
      <c r="R13" s="86" t="s">
        <v>103</v>
      </c>
      <c r="S13" s="86" t="s">
        <v>103</v>
      </c>
      <c r="T13" s="86" t="s">
        <v>103</v>
      </c>
      <c r="U13" s="86" t="s">
        <v>103</v>
      </c>
      <c r="V13" s="86" t="s">
        <v>103</v>
      </c>
      <c r="W13" s="104">
        <f>I13*Z13/2000</f>
        <v>206.424</v>
      </c>
      <c r="X13" s="86" t="s">
        <v>103</v>
      </c>
      <c r="Y13" s="86">
        <v>1</v>
      </c>
      <c r="Z13" s="116">
        <v>47</v>
      </c>
      <c r="AA13" s="116" t="s">
        <v>49</v>
      </c>
      <c r="AB13" s="118" t="s">
        <v>365</v>
      </c>
    </row>
    <row r="14" spans="1:28" ht="12.75">
      <c r="A14" s="83" t="s">
        <v>366</v>
      </c>
      <c r="B14" s="84">
        <v>5001</v>
      </c>
      <c r="C14" s="116" t="s">
        <v>367</v>
      </c>
      <c r="D14" s="86">
        <v>30300302</v>
      </c>
      <c r="E14" s="116" t="s">
        <v>368</v>
      </c>
      <c r="F14" s="86" t="s">
        <v>38</v>
      </c>
      <c r="G14" s="86" t="s">
        <v>103</v>
      </c>
      <c r="H14" s="85" t="s">
        <v>104</v>
      </c>
      <c r="I14" s="116">
        <v>966235</v>
      </c>
      <c r="J14" s="116" t="s">
        <v>105</v>
      </c>
      <c r="K14" s="84">
        <v>966235</v>
      </c>
      <c r="L14" s="116" t="s">
        <v>105</v>
      </c>
      <c r="M14" s="84" t="s">
        <v>103</v>
      </c>
      <c r="N14" s="116" t="s">
        <v>103</v>
      </c>
      <c r="O14" s="86" t="s">
        <v>103</v>
      </c>
      <c r="P14" s="86" t="s">
        <v>103</v>
      </c>
      <c r="Q14" s="86" t="s">
        <v>103</v>
      </c>
      <c r="R14" s="86" t="s">
        <v>103</v>
      </c>
      <c r="S14" s="86" t="s">
        <v>103</v>
      </c>
      <c r="T14" s="86" t="s">
        <v>103</v>
      </c>
      <c r="U14" s="86" t="s">
        <v>103</v>
      </c>
      <c r="V14" s="86" t="s">
        <v>103</v>
      </c>
      <c r="W14" s="104">
        <f>I14*Z14/2000</f>
        <v>0.33818225</v>
      </c>
      <c r="X14" s="86" t="s">
        <v>103</v>
      </c>
      <c r="Y14" s="86">
        <v>8</v>
      </c>
      <c r="Z14" s="116">
        <v>0.0007</v>
      </c>
      <c r="AA14" s="116" t="s">
        <v>107</v>
      </c>
      <c r="AB14" s="118" t="s">
        <v>103</v>
      </c>
    </row>
    <row r="15" spans="1:28" ht="12.75">
      <c r="A15" s="83">
        <v>3</v>
      </c>
      <c r="B15" s="84">
        <v>3681</v>
      </c>
      <c r="C15" s="116" t="s">
        <v>369</v>
      </c>
      <c r="D15" s="86">
        <v>30300315</v>
      </c>
      <c r="E15" s="116" t="s">
        <v>370</v>
      </c>
      <c r="F15" s="86" t="s">
        <v>38</v>
      </c>
      <c r="G15" s="86">
        <v>20412</v>
      </c>
      <c r="H15" s="85" t="s">
        <v>109</v>
      </c>
      <c r="I15" s="116">
        <v>398</v>
      </c>
      <c r="J15" s="116" t="s">
        <v>371</v>
      </c>
      <c r="K15" s="84" t="s">
        <v>103</v>
      </c>
      <c r="L15" s="116" t="s">
        <v>103</v>
      </c>
      <c r="M15" s="84">
        <v>1000</v>
      </c>
      <c r="N15" s="116" t="s">
        <v>372</v>
      </c>
      <c r="O15" s="86" t="s">
        <v>103</v>
      </c>
      <c r="P15" s="86" t="s">
        <v>103</v>
      </c>
      <c r="Q15" s="86" t="s">
        <v>103</v>
      </c>
      <c r="R15" s="86" t="s">
        <v>103</v>
      </c>
      <c r="S15" s="86" t="s">
        <v>103</v>
      </c>
      <c r="T15" s="86" t="s">
        <v>103</v>
      </c>
      <c r="U15" s="86" t="s">
        <v>103</v>
      </c>
      <c r="V15" s="86" t="s">
        <v>103</v>
      </c>
      <c r="W15" s="104">
        <f>I15*M15*Z15/2000</f>
        <v>0.11939999999999999</v>
      </c>
      <c r="X15" s="86" t="s">
        <v>103</v>
      </c>
      <c r="Y15" s="86">
        <v>3</v>
      </c>
      <c r="Z15" s="116">
        <v>0.0006</v>
      </c>
      <c r="AA15" s="116" t="s">
        <v>373</v>
      </c>
      <c r="AB15" s="118" t="s">
        <v>103</v>
      </c>
    </row>
    <row r="16" spans="1:28" ht="12.75">
      <c r="A16" s="83">
        <v>3</v>
      </c>
      <c r="B16" s="84">
        <v>4212</v>
      </c>
      <c r="C16" s="116" t="s">
        <v>374</v>
      </c>
      <c r="D16" s="86">
        <v>30300824</v>
      </c>
      <c r="E16" s="116" t="s">
        <v>375</v>
      </c>
      <c r="F16" s="86" t="s">
        <v>38</v>
      </c>
      <c r="G16" s="86">
        <v>13</v>
      </c>
      <c r="H16" s="85" t="s">
        <v>109</v>
      </c>
      <c r="I16" s="116">
        <v>986</v>
      </c>
      <c r="J16" s="116" t="s">
        <v>371</v>
      </c>
      <c r="K16" s="84" t="s">
        <v>103</v>
      </c>
      <c r="L16" s="116" t="s">
        <v>103</v>
      </c>
      <c r="M16" s="84">
        <v>1000</v>
      </c>
      <c r="N16" s="116" t="s">
        <v>372</v>
      </c>
      <c r="O16" s="86" t="s">
        <v>103</v>
      </c>
      <c r="P16" s="86" t="s">
        <v>103</v>
      </c>
      <c r="Q16" s="86" t="s">
        <v>103</v>
      </c>
      <c r="R16" s="86" t="s">
        <v>103</v>
      </c>
      <c r="S16" s="86" t="s">
        <v>103</v>
      </c>
      <c r="T16" s="86" t="s">
        <v>103</v>
      </c>
      <c r="U16" s="86" t="s">
        <v>103</v>
      </c>
      <c r="V16" s="86" t="s">
        <v>103</v>
      </c>
      <c r="W16" s="104">
        <f>I16*M16*Z16/2000</f>
        <v>19.72</v>
      </c>
      <c r="X16" s="86" t="s">
        <v>103</v>
      </c>
      <c r="Y16" s="86">
        <v>8</v>
      </c>
      <c r="Z16" s="116">
        <v>0.04</v>
      </c>
      <c r="AA16" s="116" t="s">
        <v>373</v>
      </c>
      <c r="AB16" s="118" t="s">
        <v>103</v>
      </c>
    </row>
    <row r="17" spans="1:28" ht="12.75">
      <c r="A17" s="83">
        <v>3</v>
      </c>
      <c r="B17" s="84">
        <v>4213</v>
      </c>
      <c r="C17" s="116" t="s">
        <v>376</v>
      </c>
      <c r="D17" s="86">
        <v>30300824</v>
      </c>
      <c r="E17" s="116" t="s">
        <v>375</v>
      </c>
      <c r="F17" s="86" t="s">
        <v>38</v>
      </c>
      <c r="G17" s="86">
        <v>13</v>
      </c>
      <c r="H17" s="85" t="s">
        <v>377</v>
      </c>
      <c r="I17" s="116">
        <v>11948</v>
      </c>
      <c r="J17" s="116" t="s">
        <v>371</v>
      </c>
      <c r="K17" s="84" t="s">
        <v>103</v>
      </c>
      <c r="L17" s="116" t="s">
        <v>103</v>
      </c>
      <c r="M17" s="84">
        <v>75</v>
      </c>
      <c r="N17" s="116" t="s">
        <v>372</v>
      </c>
      <c r="O17" s="86" t="s">
        <v>103</v>
      </c>
      <c r="P17" s="86" t="s">
        <v>103</v>
      </c>
      <c r="Q17" s="86" t="s">
        <v>103</v>
      </c>
      <c r="R17" s="86" t="s">
        <v>103</v>
      </c>
      <c r="S17" s="86" t="s">
        <v>103</v>
      </c>
      <c r="T17" s="86" t="s">
        <v>103</v>
      </c>
      <c r="U17" s="86" t="s">
        <v>103</v>
      </c>
      <c r="V17" s="86" t="s">
        <v>103</v>
      </c>
      <c r="W17" s="104">
        <f>I17*M17*Z17/2000</f>
        <v>17.922</v>
      </c>
      <c r="X17" s="86" t="s">
        <v>103</v>
      </c>
      <c r="Y17" s="86">
        <v>8</v>
      </c>
      <c r="Z17" s="116">
        <v>0.04</v>
      </c>
      <c r="AA17" s="116" t="s">
        <v>373</v>
      </c>
      <c r="AB17" s="118" t="s">
        <v>103</v>
      </c>
    </row>
    <row r="18" spans="1:28" ht="12.75">
      <c r="A18" s="83">
        <v>3</v>
      </c>
      <c r="B18" s="84">
        <v>4214</v>
      </c>
      <c r="C18" s="116" t="s">
        <v>378</v>
      </c>
      <c r="D18" s="86">
        <v>30390003</v>
      </c>
      <c r="E18" s="116" t="s">
        <v>379</v>
      </c>
      <c r="F18" s="86" t="s">
        <v>38</v>
      </c>
      <c r="G18" s="86" t="s">
        <v>103</v>
      </c>
      <c r="H18" s="85" t="s">
        <v>109</v>
      </c>
      <c r="I18" s="116">
        <v>45</v>
      </c>
      <c r="J18" s="116" t="s">
        <v>371</v>
      </c>
      <c r="K18" s="84" t="s">
        <v>103</v>
      </c>
      <c r="L18" s="116" t="s">
        <v>103</v>
      </c>
      <c r="M18" s="84" t="s">
        <v>103</v>
      </c>
      <c r="N18" s="116" t="s">
        <v>103</v>
      </c>
      <c r="O18" s="86" t="s">
        <v>103</v>
      </c>
      <c r="P18" s="86" t="s">
        <v>103</v>
      </c>
      <c r="Q18" s="86" t="s">
        <v>103</v>
      </c>
      <c r="R18" s="86" t="s">
        <v>103</v>
      </c>
      <c r="S18" s="86" t="s">
        <v>103</v>
      </c>
      <c r="T18" s="86" t="s">
        <v>103</v>
      </c>
      <c r="U18" s="86" t="s">
        <v>103</v>
      </c>
      <c r="V18" s="86" t="s">
        <v>103</v>
      </c>
      <c r="W18" s="104">
        <f>I18*Z18/2000</f>
        <v>0.0135</v>
      </c>
      <c r="X18" s="86" t="s">
        <v>103</v>
      </c>
      <c r="Y18" s="86">
        <v>8</v>
      </c>
      <c r="Z18" s="116">
        <v>0.6</v>
      </c>
      <c r="AA18" s="116" t="s">
        <v>380</v>
      </c>
      <c r="AB18" s="118" t="s">
        <v>103</v>
      </c>
    </row>
    <row r="19" spans="1:28" ht="12.75">
      <c r="A19" s="83">
        <v>3</v>
      </c>
      <c r="B19" s="84">
        <v>4216</v>
      </c>
      <c r="C19" s="116" t="s">
        <v>381</v>
      </c>
      <c r="D19" s="86">
        <v>10200602</v>
      </c>
      <c r="E19" s="116" t="s">
        <v>382</v>
      </c>
      <c r="F19" s="86" t="s">
        <v>52</v>
      </c>
      <c r="G19" s="86">
        <v>1590</v>
      </c>
      <c r="H19" s="85" t="s">
        <v>109</v>
      </c>
      <c r="I19" s="116">
        <v>455</v>
      </c>
      <c r="J19" s="116" t="s">
        <v>371</v>
      </c>
      <c r="K19" s="84" t="s">
        <v>103</v>
      </c>
      <c r="L19" s="116" t="s">
        <v>103</v>
      </c>
      <c r="M19" s="84">
        <v>1000</v>
      </c>
      <c r="N19" s="116" t="s">
        <v>372</v>
      </c>
      <c r="O19" s="86" t="s">
        <v>103</v>
      </c>
      <c r="P19" s="86" t="s">
        <v>103</v>
      </c>
      <c r="Q19" s="86" t="s">
        <v>103</v>
      </c>
      <c r="R19" s="86" t="s">
        <v>103</v>
      </c>
      <c r="S19" s="86" t="s">
        <v>103</v>
      </c>
      <c r="T19" s="86" t="s">
        <v>103</v>
      </c>
      <c r="U19" s="86" t="s">
        <v>103</v>
      </c>
      <c r="V19" s="86" t="s">
        <v>103</v>
      </c>
      <c r="W19" s="104">
        <f>I19*M19*Z19/2000</f>
        <v>0.1365</v>
      </c>
      <c r="X19" s="86" t="s">
        <v>103</v>
      </c>
      <c r="Y19" s="86">
        <v>8</v>
      </c>
      <c r="Z19" s="116">
        <v>0.0006</v>
      </c>
      <c r="AA19" s="116" t="s">
        <v>373</v>
      </c>
      <c r="AB19" s="118" t="s">
        <v>103</v>
      </c>
    </row>
    <row r="20" spans="1:28" ht="12.75">
      <c r="A20" s="83">
        <v>3</v>
      </c>
      <c r="B20" s="84">
        <v>4217</v>
      </c>
      <c r="C20" s="116" t="s">
        <v>383</v>
      </c>
      <c r="D20" s="86">
        <v>10200602</v>
      </c>
      <c r="E20" s="116" t="s">
        <v>384</v>
      </c>
      <c r="F20" s="86" t="s">
        <v>52</v>
      </c>
      <c r="G20" s="86">
        <v>1591</v>
      </c>
      <c r="H20" s="85" t="s">
        <v>109</v>
      </c>
      <c r="I20" s="116">
        <v>394</v>
      </c>
      <c r="J20" s="116" t="s">
        <v>371</v>
      </c>
      <c r="K20" s="84" t="s">
        <v>103</v>
      </c>
      <c r="L20" s="116" t="s">
        <v>103</v>
      </c>
      <c r="M20" s="84">
        <v>1000</v>
      </c>
      <c r="N20" s="116" t="s">
        <v>372</v>
      </c>
      <c r="O20" s="86" t="s">
        <v>103</v>
      </c>
      <c r="P20" s="86" t="s">
        <v>103</v>
      </c>
      <c r="Q20" s="86" t="s">
        <v>103</v>
      </c>
      <c r="R20" s="86" t="s">
        <v>103</v>
      </c>
      <c r="S20" s="86" t="s">
        <v>103</v>
      </c>
      <c r="T20" s="86" t="s">
        <v>103</v>
      </c>
      <c r="U20" s="86" t="s">
        <v>103</v>
      </c>
      <c r="V20" s="86" t="s">
        <v>103</v>
      </c>
      <c r="W20" s="104">
        <f>I20*M20*Z20/2000</f>
        <v>0.11819999999999999</v>
      </c>
      <c r="X20" s="86" t="s">
        <v>103</v>
      </c>
      <c r="Y20" s="86">
        <v>8</v>
      </c>
      <c r="Z20" s="116">
        <v>0.0006</v>
      </c>
      <c r="AA20" s="116" t="s">
        <v>373</v>
      </c>
      <c r="AB20" s="118" t="s">
        <v>103</v>
      </c>
    </row>
    <row r="21" spans="1:28" ht="12.75">
      <c r="A21" s="83">
        <v>3</v>
      </c>
      <c r="B21" s="84">
        <v>4218</v>
      </c>
      <c r="C21" s="116" t="s">
        <v>385</v>
      </c>
      <c r="D21" s="86">
        <v>10200602</v>
      </c>
      <c r="E21" s="116" t="s">
        <v>386</v>
      </c>
      <c r="F21" s="86" t="s">
        <v>38</v>
      </c>
      <c r="G21" s="86">
        <v>1611</v>
      </c>
      <c r="H21" s="85" t="s">
        <v>109</v>
      </c>
      <c r="I21" s="116">
        <v>2478</v>
      </c>
      <c r="J21" s="116" t="s">
        <v>371</v>
      </c>
      <c r="K21" s="84" t="s">
        <v>103</v>
      </c>
      <c r="L21" s="116" t="s">
        <v>103</v>
      </c>
      <c r="M21" s="84">
        <v>1000</v>
      </c>
      <c r="N21" s="116" t="s">
        <v>372</v>
      </c>
      <c r="O21" s="86" t="s">
        <v>103</v>
      </c>
      <c r="P21" s="86" t="s">
        <v>103</v>
      </c>
      <c r="Q21" s="86" t="s">
        <v>103</v>
      </c>
      <c r="R21" s="86" t="s">
        <v>103</v>
      </c>
      <c r="S21" s="86" t="s">
        <v>103</v>
      </c>
      <c r="T21" s="86" t="s">
        <v>103</v>
      </c>
      <c r="U21" s="86" t="s">
        <v>103</v>
      </c>
      <c r="V21" s="86" t="s">
        <v>103</v>
      </c>
      <c r="W21" s="104">
        <f>I21*M21*Z21/2000</f>
        <v>0.7434</v>
      </c>
      <c r="X21" s="86" t="s">
        <v>103</v>
      </c>
      <c r="Y21" s="86">
        <v>8</v>
      </c>
      <c r="Z21" s="116">
        <v>0.0006</v>
      </c>
      <c r="AA21" s="116" t="s">
        <v>373</v>
      </c>
      <c r="AB21" s="118" t="s">
        <v>103</v>
      </c>
    </row>
    <row r="22" spans="1:28" ht="12.75">
      <c r="A22" s="83">
        <v>3</v>
      </c>
      <c r="B22" s="84">
        <v>4220</v>
      </c>
      <c r="C22" s="116" t="s">
        <v>387</v>
      </c>
      <c r="D22" s="86">
        <v>10200704</v>
      </c>
      <c r="E22" s="116" t="s">
        <v>386</v>
      </c>
      <c r="F22" s="86" t="s">
        <v>38</v>
      </c>
      <c r="G22" s="86">
        <v>1611</v>
      </c>
      <c r="H22" s="85" t="s">
        <v>377</v>
      </c>
      <c r="I22" s="116">
        <v>54666</v>
      </c>
      <c r="J22" s="116" t="s">
        <v>371</v>
      </c>
      <c r="K22" s="84" t="s">
        <v>103</v>
      </c>
      <c r="L22" s="116" t="s">
        <v>103</v>
      </c>
      <c r="M22" s="84">
        <v>75</v>
      </c>
      <c r="N22" s="116" t="s">
        <v>372</v>
      </c>
      <c r="O22" s="86" t="s">
        <v>103</v>
      </c>
      <c r="P22" s="86" t="s">
        <v>103</v>
      </c>
      <c r="Q22" s="86" t="s">
        <v>103</v>
      </c>
      <c r="R22" s="86" t="s">
        <v>103</v>
      </c>
      <c r="S22" s="86" t="s">
        <v>103</v>
      </c>
      <c r="T22" s="86" t="s">
        <v>103</v>
      </c>
      <c r="U22" s="86" t="s">
        <v>103</v>
      </c>
      <c r="V22" s="86" t="s">
        <v>103</v>
      </c>
      <c r="W22" s="104">
        <f>I22*M22*Z22/2000</f>
        <v>81.999</v>
      </c>
      <c r="X22" s="86" t="s">
        <v>103</v>
      </c>
      <c r="Y22" s="86">
        <v>3</v>
      </c>
      <c r="Z22" s="116">
        <v>0.04</v>
      </c>
      <c r="AA22" s="116" t="s">
        <v>373</v>
      </c>
      <c r="AB22" s="118" t="s">
        <v>103</v>
      </c>
    </row>
    <row r="23" spans="1:28" ht="12.75">
      <c r="A23" s="83">
        <v>3</v>
      </c>
      <c r="B23" s="84">
        <v>4221</v>
      </c>
      <c r="C23" s="116" t="s">
        <v>388</v>
      </c>
      <c r="D23" s="86">
        <v>10200204</v>
      </c>
      <c r="E23" s="116" t="s">
        <v>386</v>
      </c>
      <c r="F23" s="86" t="s">
        <v>38</v>
      </c>
      <c r="G23" s="86">
        <v>1612</v>
      </c>
      <c r="H23" s="85" t="s">
        <v>360</v>
      </c>
      <c r="I23" s="116">
        <v>1008</v>
      </c>
      <c r="J23" s="116" t="s">
        <v>69</v>
      </c>
      <c r="K23" s="84" t="s">
        <v>103</v>
      </c>
      <c r="L23" s="116" t="s">
        <v>103</v>
      </c>
      <c r="M23" s="84" t="s">
        <v>103</v>
      </c>
      <c r="N23" s="116" t="s">
        <v>103</v>
      </c>
      <c r="O23" s="86" t="s">
        <v>103</v>
      </c>
      <c r="P23" s="86" t="s">
        <v>103</v>
      </c>
      <c r="Q23" s="86" t="s">
        <v>103</v>
      </c>
      <c r="R23" s="86" t="s">
        <v>103</v>
      </c>
      <c r="S23" s="86" t="s">
        <v>103</v>
      </c>
      <c r="T23" s="86" t="s">
        <v>103</v>
      </c>
      <c r="U23" s="86" t="s">
        <v>103</v>
      </c>
      <c r="V23" s="86" t="s">
        <v>103</v>
      </c>
      <c r="W23" s="104">
        <f>I23*Z23/2000</f>
        <v>152.9388</v>
      </c>
      <c r="X23" s="86" t="s">
        <v>103</v>
      </c>
      <c r="Y23" s="86">
        <v>3</v>
      </c>
      <c r="Z23" s="116">
        <v>303.45</v>
      </c>
      <c r="AA23" s="116" t="s">
        <v>49</v>
      </c>
      <c r="AB23" s="118" t="s">
        <v>103</v>
      </c>
    </row>
    <row r="24" spans="1:28" ht="12.75">
      <c r="A24" s="83">
        <v>3</v>
      </c>
      <c r="B24" s="84">
        <v>4222</v>
      </c>
      <c r="C24" s="116" t="s">
        <v>389</v>
      </c>
      <c r="D24" s="86">
        <v>30300911</v>
      </c>
      <c r="E24" s="116" t="s">
        <v>390</v>
      </c>
      <c r="F24" s="86" t="s">
        <v>38</v>
      </c>
      <c r="G24" s="86">
        <v>1600</v>
      </c>
      <c r="H24" s="85" t="s">
        <v>109</v>
      </c>
      <c r="I24" s="116">
        <v>963</v>
      </c>
      <c r="J24" s="116" t="s">
        <v>371</v>
      </c>
      <c r="K24" s="84" t="s">
        <v>103</v>
      </c>
      <c r="L24" s="116" t="s">
        <v>103</v>
      </c>
      <c r="M24" s="84">
        <v>1000</v>
      </c>
      <c r="N24" s="116" t="s">
        <v>372</v>
      </c>
      <c r="O24" s="86" t="s">
        <v>103</v>
      </c>
      <c r="P24" s="86" t="s">
        <v>103</v>
      </c>
      <c r="Q24" s="86" t="s">
        <v>103</v>
      </c>
      <c r="R24" s="86" t="s">
        <v>103</v>
      </c>
      <c r="S24" s="86" t="s">
        <v>103</v>
      </c>
      <c r="T24" s="86" t="s">
        <v>103</v>
      </c>
      <c r="U24" s="86" t="s">
        <v>103</v>
      </c>
      <c r="V24" s="86" t="s">
        <v>103</v>
      </c>
      <c r="W24" s="104">
        <f>I24*M24*Z24/2000</f>
        <v>0.2889</v>
      </c>
      <c r="X24" s="86" t="s">
        <v>103</v>
      </c>
      <c r="Y24" s="86">
        <v>3</v>
      </c>
      <c r="Z24" s="116">
        <v>0.0006</v>
      </c>
      <c r="AA24" s="116" t="s">
        <v>373</v>
      </c>
      <c r="AB24" s="118" t="s">
        <v>103</v>
      </c>
    </row>
    <row r="25" spans="1:28" ht="12.75">
      <c r="A25" s="83">
        <v>3</v>
      </c>
      <c r="B25" s="84">
        <v>4224</v>
      </c>
      <c r="C25" s="116" t="s">
        <v>391</v>
      </c>
      <c r="D25" s="86">
        <v>30300933</v>
      </c>
      <c r="E25" s="116" t="s">
        <v>392</v>
      </c>
      <c r="F25" s="86" t="s">
        <v>38</v>
      </c>
      <c r="G25" s="86">
        <v>1608</v>
      </c>
      <c r="H25" s="85" t="s">
        <v>109</v>
      </c>
      <c r="I25" s="116">
        <v>2149</v>
      </c>
      <c r="J25" s="116" t="s">
        <v>371</v>
      </c>
      <c r="K25" s="84" t="s">
        <v>103</v>
      </c>
      <c r="L25" s="116" t="s">
        <v>103</v>
      </c>
      <c r="M25" s="84">
        <v>1000</v>
      </c>
      <c r="N25" s="116" t="s">
        <v>372</v>
      </c>
      <c r="O25" s="86" t="s">
        <v>103</v>
      </c>
      <c r="P25" s="86" t="s">
        <v>103</v>
      </c>
      <c r="Q25" s="86" t="s">
        <v>103</v>
      </c>
      <c r="R25" s="86" t="s">
        <v>103</v>
      </c>
      <c r="S25" s="86" t="s">
        <v>103</v>
      </c>
      <c r="T25" s="86" t="s">
        <v>103</v>
      </c>
      <c r="U25" s="86" t="s">
        <v>103</v>
      </c>
      <c r="V25" s="86" t="s">
        <v>103</v>
      </c>
      <c r="W25" s="104">
        <f>I25*M25*Z25/2000</f>
        <v>0.6446999999999999</v>
      </c>
      <c r="X25" s="86" t="s">
        <v>103</v>
      </c>
      <c r="Y25" s="86">
        <v>3</v>
      </c>
      <c r="Z25" s="116">
        <v>0.0006</v>
      </c>
      <c r="AA25" s="116" t="s">
        <v>373</v>
      </c>
      <c r="AB25" s="118" t="s">
        <v>103</v>
      </c>
    </row>
    <row r="26" spans="1:28" ht="12.75">
      <c r="A26" s="83">
        <v>3</v>
      </c>
      <c r="B26" s="84">
        <v>8201</v>
      </c>
      <c r="C26" s="116" t="s">
        <v>393</v>
      </c>
      <c r="D26" s="86">
        <v>30390003</v>
      </c>
      <c r="E26" s="116" t="s">
        <v>394</v>
      </c>
      <c r="F26" s="86" t="s">
        <v>38</v>
      </c>
      <c r="G26" s="86" t="s">
        <v>103</v>
      </c>
      <c r="H26" s="85" t="s">
        <v>109</v>
      </c>
      <c r="I26" s="116">
        <v>117</v>
      </c>
      <c r="J26" s="116" t="s">
        <v>371</v>
      </c>
      <c r="K26" s="84" t="s">
        <v>103</v>
      </c>
      <c r="L26" s="116" t="s">
        <v>103</v>
      </c>
      <c r="M26" s="84">
        <v>1000</v>
      </c>
      <c r="N26" s="116" t="s">
        <v>372</v>
      </c>
      <c r="O26" s="86" t="s">
        <v>103</v>
      </c>
      <c r="P26" s="86" t="s">
        <v>103</v>
      </c>
      <c r="Q26" s="86" t="s">
        <v>103</v>
      </c>
      <c r="R26" s="86" t="s">
        <v>103</v>
      </c>
      <c r="S26" s="86" t="s">
        <v>103</v>
      </c>
      <c r="T26" s="86" t="s">
        <v>103</v>
      </c>
      <c r="U26" s="86" t="s">
        <v>103</v>
      </c>
      <c r="V26" s="86" t="s">
        <v>103</v>
      </c>
      <c r="W26" s="104">
        <f>I26*Z26/2000</f>
        <v>0.0351</v>
      </c>
      <c r="X26" s="86" t="s">
        <v>103</v>
      </c>
      <c r="Y26" s="86">
        <v>8</v>
      </c>
      <c r="Z26" s="116">
        <v>0.6</v>
      </c>
      <c r="AA26" s="116" t="s">
        <v>380</v>
      </c>
      <c r="AB26" s="118" t="s">
        <v>103</v>
      </c>
    </row>
    <row r="27" spans="1:28" ht="12.75">
      <c r="A27" s="83">
        <v>3</v>
      </c>
      <c r="B27" s="84">
        <v>8202</v>
      </c>
      <c r="C27" s="116" t="s">
        <v>395</v>
      </c>
      <c r="D27" s="86">
        <v>30390003</v>
      </c>
      <c r="E27" s="116" t="s">
        <v>396</v>
      </c>
      <c r="F27" s="86" t="s">
        <v>38</v>
      </c>
      <c r="G27" s="86" t="s">
        <v>103</v>
      </c>
      <c r="H27" s="85" t="s">
        <v>109</v>
      </c>
      <c r="I27" s="116">
        <v>226</v>
      </c>
      <c r="J27" s="116" t="s">
        <v>371</v>
      </c>
      <c r="K27" s="84" t="s">
        <v>103</v>
      </c>
      <c r="L27" s="116" t="s">
        <v>103</v>
      </c>
      <c r="M27" s="84">
        <v>1000</v>
      </c>
      <c r="N27" s="116" t="s">
        <v>372</v>
      </c>
      <c r="O27" s="86" t="s">
        <v>103</v>
      </c>
      <c r="P27" s="86" t="s">
        <v>103</v>
      </c>
      <c r="Q27" s="86" t="s">
        <v>103</v>
      </c>
      <c r="R27" s="86" t="s">
        <v>103</v>
      </c>
      <c r="S27" s="86" t="s">
        <v>103</v>
      </c>
      <c r="T27" s="86" t="s">
        <v>103</v>
      </c>
      <c r="U27" s="86" t="s">
        <v>103</v>
      </c>
      <c r="V27" s="86" t="s">
        <v>103</v>
      </c>
      <c r="W27" s="104">
        <f>I27*Z27/2000</f>
        <v>0.0678</v>
      </c>
      <c r="X27" s="86" t="s">
        <v>103</v>
      </c>
      <c r="Y27" s="86">
        <v>8</v>
      </c>
      <c r="Z27" s="116">
        <v>0.6</v>
      </c>
      <c r="AA27" s="116" t="s">
        <v>380</v>
      </c>
      <c r="AB27" s="118" t="s">
        <v>103</v>
      </c>
    </row>
    <row r="28" spans="1:28" ht="12.75">
      <c r="A28" s="83">
        <v>12</v>
      </c>
      <c r="B28" s="84">
        <v>1127</v>
      </c>
      <c r="C28" s="116" t="s">
        <v>397</v>
      </c>
      <c r="D28" s="86">
        <v>27000320</v>
      </c>
      <c r="E28" s="116" t="s">
        <v>398</v>
      </c>
      <c r="F28" s="86" t="s">
        <v>38</v>
      </c>
      <c r="G28" s="86" t="s">
        <v>103</v>
      </c>
      <c r="H28" s="85" t="s">
        <v>78</v>
      </c>
      <c r="I28" s="116">
        <v>777904</v>
      </c>
      <c r="J28" s="116" t="s">
        <v>122</v>
      </c>
      <c r="K28" s="84" t="s">
        <v>103</v>
      </c>
      <c r="L28" s="116" t="s">
        <v>103</v>
      </c>
      <c r="M28" s="84" t="s">
        <v>103</v>
      </c>
      <c r="N28" s="116" t="s">
        <v>103</v>
      </c>
      <c r="O28" s="86" t="s">
        <v>103</v>
      </c>
      <c r="P28" s="86" t="s">
        <v>103</v>
      </c>
      <c r="Q28" s="86" t="s">
        <v>103</v>
      </c>
      <c r="R28" s="86" t="s">
        <v>103</v>
      </c>
      <c r="S28" s="86" t="s">
        <v>103</v>
      </c>
      <c r="T28" s="86" t="s">
        <v>103</v>
      </c>
      <c r="U28" s="86" t="s">
        <v>103</v>
      </c>
      <c r="V28" s="86" t="s">
        <v>103</v>
      </c>
      <c r="W28" s="104">
        <f>(I28/1000)*Z28/2000</f>
        <v>12.0964072</v>
      </c>
      <c r="X28" s="86" t="s">
        <v>103</v>
      </c>
      <c r="Y28" s="86">
        <v>8</v>
      </c>
      <c r="Z28" s="116">
        <v>31.1</v>
      </c>
      <c r="AA28" s="116" t="s">
        <v>115</v>
      </c>
      <c r="AB28" s="118" t="s">
        <v>103</v>
      </c>
    </row>
    <row r="29" spans="1:28" ht="12.75">
      <c r="A29" s="83">
        <v>12</v>
      </c>
      <c r="B29" s="84">
        <v>980</v>
      </c>
      <c r="C29" s="116" t="s">
        <v>399</v>
      </c>
      <c r="D29" s="86">
        <v>20200301</v>
      </c>
      <c r="E29" s="116" t="s">
        <v>400</v>
      </c>
      <c r="F29" s="86" t="s">
        <v>38</v>
      </c>
      <c r="G29" s="86" t="s">
        <v>103</v>
      </c>
      <c r="H29" s="85" t="s">
        <v>273</v>
      </c>
      <c r="I29" s="116">
        <v>92027</v>
      </c>
      <c r="J29" s="116" t="s">
        <v>122</v>
      </c>
      <c r="K29" s="84" t="s">
        <v>103</v>
      </c>
      <c r="L29" s="116" t="s">
        <v>103</v>
      </c>
      <c r="M29" s="84" t="s">
        <v>103</v>
      </c>
      <c r="N29" s="116" t="s">
        <v>103</v>
      </c>
      <c r="O29" s="86" t="s">
        <v>103</v>
      </c>
      <c r="P29" s="86" t="s">
        <v>103</v>
      </c>
      <c r="Q29" s="86" t="s">
        <v>103</v>
      </c>
      <c r="R29" s="86" t="s">
        <v>103</v>
      </c>
      <c r="S29" s="86" t="s">
        <v>103</v>
      </c>
      <c r="T29" s="86" t="s">
        <v>103</v>
      </c>
      <c r="U29" s="86" t="s">
        <v>103</v>
      </c>
      <c r="V29" s="86" t="s">
        <v>103</v>
      </c>
      <c r="W29" s="104">
        <f>(I29/1000)*Z29/2000</f>
        <v>0.24295128000000002</v>
      </c>
      <c r="X29" s="86" t="s">
        <v>103</v>
      </c>
      <c r="Y29" s="86">
        <v>8</v>
      </c>
      <c r="Z29" s="116">
        <v>5.28</v>
      </c>
      <c r="AA29" s="116" t="s">
        <v>115</v>
      </c>
      <c r="AB29" s="118" t="s">
        <v>103</v>
      </c>
    </row>
    <row r="30" spans="1:28" ht="12.75">
      <c r="A30" s="83">
        <v>15</v>
      </c>
      <c r="B30" s="84">
        <v>15187</v>
      </c>
      <c r="C30" s="116" t="s">
        <v>401</v>
      </c>
      <c r="D30" s="86">
        <v>20200102</v>
      </c>
      <c r="E30" s="116" t="s">
        <v>402</v>
      </c>
      <c r="F30" s="86" t="s">
        <v>38</v>
      </c>
      <c r="G30" s="86">
        <v>3935</v>
      </c>
      <c r="H30" s="85" t="s">
        <v>103</v>
      </c>
      <c r="I30" s="116">
        <v>30</v>
      </c>
      <c r="J30" s="116" t="s">
        <v>69</v>
      </c>
      <c r="K30" s="84">
        <v>402</v>
      </c>
      <c r="L30" s="116" t="s">
        <v>403</v>
      </c>
      <c r="M30" s="84" t="s">
        <v>103</v>
      </c>
      <c r="N30" s="116" t="s">
        <v>103</v>
      </c>
      <c r="O30" s="86" t="s">
        <v>103</v>
      </c>
      <c r="P30" s="86" t="s">
        <v>103</v>
      </c>
      <c r="Q30" s="86" t="s">
        <v>103</v>
      </c>
      <c r="R30" s="86" t="s">
        <v>103</v>
      </c>
      <c r="S30" s="86" t="s">
        <v>103</v>
      </c>
      <c r="T30" s="86" t="s">
        <v>103</v>
      </c>
      <c r="U30" s="86" t="s">
        <v>103</v>
      </c>
      <c r="V30" s="86" t="s">
        <v>103</v>
      </c>
      <c r="W30" s="104">
        <f>I30*Z30/2000</f>
        <v>0.0195</v>
      </c>
      <c r="X30" s="86" t="s">
        <v>103</v>
      </c>
      <c r="Y30" s="86">
        <v>7</v>
      </c>
      <c r="Z30" s="116">
        <v>1.3</v>
      </c>
      <c r="AA30" s="116" t="s">
        <v>49</v>
      </c>
      <c r="AB30" s="118" t="s">
        <v>103</v>
      </c>
    </row>
    <row r="31" spans="1:28" ht="12.75">
      <c r="A31" s="83">
        <v>15</v>
      </c>
      <c r="B31" s="84">
        <v>15188</v>
      </c>
      <c r="C31" s="116" t="s">
        <v>404</v>
      </c>
      <c r="D31" s="86">
        <v>20200102</v>
      </c>
      <c r="E31" s="116" t="s">
        <v>405</v>
      </c>
      <c r="F31" s="86" t="s">
        <v>38</v>
      </c>
      <c r="G31" s="86">
        <v>3936</v>
      </c>
      <c r="H31" s="85" t="s">
        <v>103</v>
      </c>
      <c r="I31" s="116">
        <v>2</v>
      </c>
      <c r="J31" s="116" t="s">
        <v>69</v>
      </c>
      <c r="K31" s="84">
        <v>805</v>
      </c>
      <c r="L31" s="116" t="s">
        <v>403</v>
      </c>
      <c r="M31" s="84" t="s">
        <v>103</v>
      </c>
      <c r="N31" s="116" t="s">
        <v>103</v>
      </c>
      <c r="O31" s="86" t="s">
        <v>103</v>
      </c>
      <c r="P31" s="86" t="s">
        <v>103</v>
      </c>
      <c r="Q31" s="86" t="s">
        <v>103</v>
      </c>
      <c r="R31" s="86" t="s">
        <v>103</v>
      </c>
      <c r="S31" s="86" t="s">
        <v>103</v>
      </c>
      <c r="T31" s="86" t="s">
        <v>103</v>
      </c>
      <c r="U31" s="86" t="s">
        <v>103</v>
      </c>
      <c r="V31" s="86" t="s">
        <v>103</v>
      </c>
      <c r="W31" s="104">
        <f aca="true" t="shared" si="0" ref="W31:W36">I31*Z31/2000</f>
        <v>0.00287</v>
      </c>
      <c r="X31" s="86" t="s">
        <v>103</v>
      </c>
      <c r="Y31" s="86">
        <v>7</v>
      </c>
      <c r="Z31" s="116">
        <v>2.87</v>
      </c>
      <c r="AA31" s="116" t="s">
        <v>49</v>
      </c>
      <c r="AB31" s="118" t="s">
        <v>103</v>
      </c>
    </row>
    <row r="32" spans="1:28" ht="12.75">
      <c r="A32" s="83">
        <v>15</v>
      </c>
      <c r="B32" s="84">
        <v>16948</v>
      </c>
      <c r="C32" s="116" t="s">
        <v>406</v>
      </c>
      <c r="D32" s="86">
        <v>20200102</v>
      </c>
      <c r="E32" s="116" t="s">
        <v>407</v>
      </c>
      <c r="F32" s="86" t="s">
        <v>38</v>
      </c>
      <c r="G32" s="86">
        <v>3937</v>
      </c>
      <c r="H32" s="85" t="s">
        <v>103</v>
      </c>
      <c r="I32" s="116">
        <v>29</v>
      </c>
      <c r="J32" s="116" t="s">
        <v>69</v>
      </c>
      <c r="K32" s="84" t="s">
        <v>103</v>
      </c>
      <c r="L32" s="116" t="s">
        <v>403</v>
      </c>
      <c r="M32" s="84" t="s">
        <v>103</v>
      </c>
      <c r="N32" s="116" t="s">
        <v>103</v>
      </c>
      <c r="O32" s="86" t="s">
        <v>103</v>
      </c>
      <c r="P32" s="86" t="s">
        <v>103</v>
      </c>
      <c r="Q32" s="86" t="s">
        <v>103</v>
      </c>
      <c r="R32" s="86" t="s">
        <v>103</v>
      </c>
      <c r="S32" s="86" t="s">
        <v>103</v>
      </c>
      <c r="T32" s="86" t="s">
        <v>103</v>
      </c>
      <c r="U32" s="86" t="s">
        <v>103</v>
      </c>
      <c r="V32" s="86" t="s">
        <v>103</v>
      </c>
      <c r="W32" s="104">
        <f t="shared" si="0"/>
        <v>0.00377</v>
      </c>
      <c r="X32" s="86" t="s">
        <v>103</v>
      </c>
      <c r="Y32" s="86">
        <v>7</v>
      </c>
      <c r="Z32" s="116">
        <v>0.26</v>
      </c>
      <c r="AA32" s="116" t="s">
        <v>49</v>
      </c>
      <c r="AB32" s="118" t="s">
        <v>103</v>
      </c>
    </row>
    <row r="33" spans="1:28" ht="12.75">
      <c r="A33" s="83">
        <v>15</v>
      </c>
      <c r="B33" s="84">
        <v>15190</v>
      </c>
      <c r="C33" s="116" t="s">
        <v>408</v>
      </c>
      <c r="D33" s="86">
        <v>20200102</v>
      </c>
      <c r="E33" s="116" t="s">
        <v>409</v>
      </c>
      <c r="F33" s="86" t="s">
        <v>38</v>
      </c>
      <c r="G33" s="86">
        <v>3938</v>
      </c>
      <c r="H33" s="85" t="s">
        <v>103</v>
      </c>
      <c r="I33" s="116">
        <v>13</v>
      </c>
      <c r="J33" s="116" t="s">
        <v>69</v>
      </c>
      <c r="K33" s="84">
        <v>402</v>
      </c>
      <c r="L33" s="116" t="s">
        <v>403</v>
      </c>
      <c r="M33" s="84" t="s">
        <v>103</v>
      </c>
      <c r="N33" s="116" t="s">
        <v>103</v>
      </c>
      <c r="O33" s="86" t="s">
        <v>103</v>
      </c>
      <c r="P33" s="86" t="s">
        <v>103</v>
      </c>
      <c r="Q33" s="86" t="s">
        <v>103</v>
      </c>
      <c r="R33" s="86" t="s">
        <v>103</v>
      </c>
      <c r="S33" s="86" t="s">
        <v>103</v>
      </c>
      <c r="T33" s="86" t="s">
        <v>103</v>
      </c>
      <c r="U33" s="86" t="s">
        <v>103</v>
      </c>
      <c r="V33" s="86" t="s">
        <v>103</v>
      </c>
      <c r="W33" s="104">
        <f t="shared" si="0"/>
        <v>0.010594999999999999</v>
      </c>
      <c r="X33" s="86" t="s">
        <v>103</v>
      </c>
      <c r="Y33" s="86">
        <v>7</v>
      </c>
      <c r="Z33" s="116">
        <v>1.63</v>
      </c>
      <c r="AA33" s="116" t="s">
        <v>49</v>
      </c>
      <c r="AB33" s="118" t="s">
        <v>103</v>
      </c>
    </row>
    <row r="34" spans="1:28" ht="12.75">
      <c r="A34" s="83">
        <v>15</v>
      </c>
      <c r="B34" s="84">
        <v>15191</v>
      </c>
      <c r="C34" s="116" t="s">
        <v>410</v>
      </c>
      <c r="D34" s="86">
        <v>20200102</v>
      </c>
      <c r="E34" s="116" t="s">
        <v>411</v>
      </c>
      <c r="F34" s="86" t="s">
        <v>38</v>
      </c>
      <c r="G34" s="86">
        <v>3939</v>
      </c>
      <c r="H34" s="85" t="s">
        <v>103</v>
      </c>
      <c r="I34" s="116">
        <v>12</v>
      </c>
      <c r="J34" s="116" t="s">
        <v>69</v>
      </c>
      <c r="K34" s="84">
        <v>1341</v>
      </c>
      <c r="L34" s="116" t="s">
        <v>403</v>
      </c>
      <c r="M34" s="84" t="s">
        <v>103</v>
      </c>
      <c r="N34" s="116" t="s">
        <v>103</v>
      </c>
      <c r="O34" s="86" t="s">
        <v>103</v>
      </c>
      <c r="P34" s="86" t="s">
        <v>103</v>
      </c>
      <c r="Q34" s="86" t="s">
        <v>103</v>
      </c>
      <c r="R34" s="86" t="s">
        <v>103</v>
      </c>
      <c r="S34" s="86" t="s">
        <v>103</v>
      </c>
      <c r="T34" s="86" t="s">
        <v>103</v>
      </c>
      <c r="U34" s="86" t="s">
        <v>103</v>
      </c>
      <c r="V34" s="86" t="s">
        <v>103</v>
      </c>
      <c r="W34" s="104">
        <f t="shared" si="0"/>
        <v>0.0306</v>
      </c>
      <c r="X34" s="86" t="s">
        <v>103</v>
      </c>
      <c r="Y34" s="86">
        <v>7</v>
      </c>
      <c r="Z34" s="116">
        <v>5.1</v>
      </c>
      <c r="AA34" s="116" t="s">
        <v>49</v>
      </c>
      <c r="AB34" s="118" t="s">
        <v>103</v>
      </c>
    </row>
    <row r="35" spans="1:28" ht="12.75">
      <c r="A35" s="83">
        <v>15</v>
      </c>
      <c r="B35" s="84">
        <v>15192</v>
      </c>
      <c r="C35" s="116" t="s">
        <v>412</v>
      </c>
      <c r="D35" s="86">
        <v>20200102</v>
      </c>
      <c r="E35" s="116" t="s">
        <v>413</v>
      </c>
      <c r="F35" s="86" t="s">
        <v>38</v>
      </c>
      <c r="G35" s="86">
        <v>3940</v>
      </c>
      <c r="H35" s="85" t="s">
        <v>103</v>
      </c>
      <c r="I35" s="116">
        <v>34</v>
      </c>
      <c r="J35" s="116" t="s">
        <v>69</v>
      </c>
      <c r="K35" s="84">
        <v>1341</v>
      </c>
      <c r="L35" s="116" t="s">
        <v>403</v>
      </c>
      <c r="M35" s="84" t="s">
        <v>103</v>
      </c>
      <c r="N35" s="116" t="s">
        <v>103</v>
      </c>
      <c r="O35" s="86" t="s">
        <v>103</v>
      </c>
      <c r="P35" s="86" t="s">
        <v>103</v>
      </c>
      <c r="Q35" s="86" t="s">
        <v>103</v>
      </c>
      <c r="R35" s="86" t="s">
        <v>103</v>
      </c>
      <c r="S35" s="86" t="s">
        <v>103</v>
      </c>
      <c r="T35" s="86" t="s">
        <v>103</v>
      </c>
      <c r="U35" s="86" t="s">
        <v>103</v>
      </c>
      <c r="V35" s="86" t="s">
        <v>103</v>
      </c>
      <c r="W35" s="104">
        <f t="shared" si="0"/>
        <v>0.08669999999999999</v>
      </c>
      <c r="X35" s="86" t="s">
        <v>103</v>
      </c>
      <c r="Y35" s="86">
        <v>7</v>
      </c>
      <c r="Z35" s="116">
        <v>5.1</v>
      </c>
      <c r="AA35" s="116" t="s">
        <v>49</v>
      </c>
      <c r="AB35" s="118" t="s">
        <v>103</v>
      </c>
    </row>
    <row r="36" spans="1:28" ht="13.5" thickBot="1">
      <c r="A36" s="88">
        <v>15</v>
      </c>
      <c r="B36" s="89">
        <v>15193</v>
      </c>
      <c r="C36" s="119" t="s">
        <v>414</v>
      </c>
      <c r="D36" s="91">
        <v>20200102</v>
      </c>
      <c r="E36" s="119" t="s">
        <v>415</v>
      </c>
      <c r="F36" s="91" t="s">
        <v>38</v>
      </c>
      <c r="G36" s="91">
        <v>3941</v>
      </c>
      <c r="H36" s="90" t="s">
        <v>103</v>
      </c>
      <c r="I36" s="119">
        <v>23</v>
      </c>
      <c r="J36" s="119" t="s">
        <v>69</v>
      </c>
      <c r="K36" s="89">
        <v>1341</v>
      </c>
      <c r="L36" s="119" t="s">
        <v>403</v>
      </c>
      <c r="M36" s="89" t="s">
        <v>103</v>
      </c>
      <c r="N36" s="119" t="s">
        <v>103</v>
      </c>
      <c r="O36" s="91" t="s">
        <v>103</v>
      </c>
      <c r="P36" s="91" t="s">
        <v>103</v>
      </c>
      <c r="Q36" s="91" t="s">
        <v>103</v>
      </c>
      <c r="R36" s="91" t="s">
        <v>103</v>
      </c>
      <c r="S36" s="91" t="s">
        <v>103</v>
      </c>
      <c r="T36" s="91" t="s">
        <v>103</v>
      </c>
      <c r="U36" s="91" t="s">
        <v>103</v>
      </c>
      <c r="V36" s="91" t="s">
        <v>103</v>
      </c>
      <c r="W36" s="105">
        <f t="shared" si="0"/>
        <v>0.05865</v>
      </c>
      <c r="X36" s="91" t="s">
        <v>103</v>
      </c>
      <c r="Y36" s="91">
        <v>7</v>
      </c>
      <c r="Z36" s="119">
        <v>5.1</v>
      </c>
      <c r="AA36" s="119" t="s">
        <v>49</v>
      </c>
      <c r="AB36" s="122" t="s">
        <v>103</v>
      </c>
    </row>
    <row r="37" spans="22:23" ht="13.5" thickBot="1">
      <c r="V37" s="165" t="s">
        <v>124</v>
      </c>
      <c r="W37" s="166">
        <f>SUM(W11:W36)</f>
        <v>978.4991257300002</v>
      </c>
    </row>
    <row r="38" ht="13.5" thickTop="1">
      <c r="C38" s="96" t="s">
        <v>125</v>
      </c>
    </row>
    <row r="39" ht="12.75">
      <c r="C39" s="3" t="s">
        <v>126</v>
      </c>
    </row>
    <row r="40" ht="12.75">
      <c r="C40" t="s">
        <v>127</v>
      </c>
    </row>
    <row r="41" ht="12.75">
      <c r="C41" t="s">
        <v>128</v>
      </c>
    </row>
    <row r="42" ht="12.75">
      <c r="C42" t="s">
        <v>222</v>
      </c>
    </row>
    <row r="43" ht="12.75">
      <c r="C43" t="s">
        <v>416</v>
      </c>
    </row>
    <row r="44" ht="12.75">
      <c r="C44" t="s">
        <v>417</v>
      </c>
    </row>
    <row r="45" ht="12.75">
      <c r="C45" t="s">
        <v>418</v>
      </c>
    </row>
    <row r="46" ht="12.75">
      <c r="C46" t="s">
        <v>419</v>
      </c>
    </row>
    <row r="48" ht="12.75">
      <c r="C48" t="s">
        <v>420</v>
      </c>
    </row>
  </sheetData>
  <mergeCells count="24">
    <mergeCell ref="Z8:Z10"/>
    <mergeCell ref="AA8:AA10"/>
    <mergeCell ref="AB8:AB10"/>
    <mergeCell ref="W8:W10"/>
    <mergeCell ref="I8:L9"/>
    <mergeCell ref="M8:P9"/>
    <mergeCell ref="X8:X10"/>
    <mergeCell ref="Y8:Y10"/>
    <mergeCell ref="Q8:Q10"/>
    <mergeCell ref="R8:S8"/>
    <mergeCell ref="T8:U8"/>
    <mergeCell ref="V8:V10"/>
    <mergeCell ref="R9:R10"/>
    <mergeCell ref="S9:S10"/>
    <mergeCell ref="T9:T10"/>
    <mergeCell ref="U9:U10"/>
    <mergeCell ref="A8:A10"/>
    <mergeCell ref="B8:B10"/>
    <mergeCell ref="C8:C10"/>
    <mergeCell ref="D8:D10"/>
    <mergeCell ref="E8:E10"/>
    <mergeCell ref="F8:F10"/>
    <mergeCell ref="G8:G10"/>
    <mergeCell ref="H8:H10"/>
  </mergeCells>
  <printOptions horizontalCentered="1"/>
  <pageMargins left="0.75" right="0.75" top="1.7" bottom="1.14" header="0.5" footer="0.5"/>
  <pageSetup horizontalDpi="600" verticalDpi="600" orientation="landscape" pageOrder="overThenDown" r:id="rId1"/>
  <headerFooter alignWithMargins="0">
    <oddHeader>&amp;L
Geneva Steel
Site Name:  Steel Manufacturing Facility
Site ID:  10796&amp;CRegional Haze
2000 Statewide SOx Sources</oddHeader>
    <oddFooter>&amp;R&amp;D
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M46"/>
  <sheetViews>
    <sheetView workbookViewId="0" topLeftCell="A1">
      <selection activeCell="D11" sqref="D11"/>
    </sheetView>
  </sheetViews>
  <sheetFormatPr defaultColWidth="9.140625" defaultRowHeight="12.75"/>
  <cols>
    <col min="1" max="1" width="7.7109375" style="0" customWidth="1"/>
    <col min="2" max="2" width="6.00390625" style="0" customWidth="1"/>
    <col min="3" max="3" width="8.00390625" style="0" customWidth="1"/>
    <col min="4" max="4" width="9.57421875" style="0" customWidth="1"/>
    <col min="5" max="5" width="24.140625" style="0" customWidth="1"/>
    <col min="6" max="6" width="5.8515625" style="0" customWidth="1"/>
    <col min="7" max="7" width="11.28125" style="0" customWidth="1"/>
    <col min="8" max="8" width="16.8515625" style="0" customWidth="1"/>
    <col min="9" max="9" width="8.140625" style="0" customWidth="1"/>
    <col min="10" max="10" width="7.7109375" style="0" customWidth="1"/>
    <col min="11" max="11" width="7.28125" style="0" customWidth="1"/>
    <col min="12" max="12" width="7.8515625" style="0" customWidth="1"/>
    <col min="13" max="13" width="8.28125" style="0" customWidth="1"/>
    <col min="14" max="14" width="6.8515625" style="0" customWidth="1"/>
    <col min="15" max="15" width="6.7109375" style="0" customWidth="1"/>
    <col min="16" max="16" width="6.421875" style="0" customWidth="1"/>
    <col min="18" max="18" width="17.00390625" style="0" customWidth="1"/>
    <col min="20" max="20" width="11.28125" style="0" customWidth="1"/>
    <col min="21" max="21" width="9.7109375" style="0" customWidth="1"/>
    <col min="22" max="22" width="9.57421875" style="0" customWidth="1"/>
    <col min="23" max="23" width="10.28125" style="126" customWidth="1"/>
    <col min="24" max="24" width="11.140625" style="0" customWidth="1"/>
    <col min="25" max="25" width="8.7109375" style="0" customWidth="1"/>
    <col min="27" max="27" width="11.28125" style="0" customWidth="1"/>
    <col min="28" max="28" width="31.421875" style="0" customWidth="1"/>
  </cols>
  <sheetData>
    <row r="1" spans="1:5" ht="15.75">
      <c r="A1" s="59" t="s">
        <v>229</v>
      </c>
      <c r="B1" s="59"/>
      <c r="C1" s="167" t="s">
        <v>421</v>
      </c>
      <c r="E1" s="4" t="s">
        <v>1</v>
      </c>
    </row>
    <row r="2" spans="1:5" ht="15">
      <c r="A2" s="59"/>
      <c r="B2" s="59"/>
      <c r="C2" t="s">
        <v>422</v>
      </c>
      <c r="E2" s="5" t="s">
        <v>95</v>
      </c>
    </row>
    <row r="3" spans="1:3" ht="12.75">
      <c r="A3" s="59" t="s">
        <v>2</v>
      </c>
      <c r="B3" s="59" t="s">
        <v>3</v>
      </c>
      <c r="C3" s="167" t="s">
        <v>423</v>
      </c>
    </row>
    <row r="4" spans="1:2" ht="12.75">
      <c r="A4" s="168">
        <v>10313</v>
      </c>
      <c r="B4" s="59"/>
    </row>
    <row r="5" ht="13.5" thickBot="1"/>
    <row r="6" spans="1:65" ht="16.5" customHeight="1">
      <c r="A6" s="418" t="s">
        <v>5</v>
      </c>
      <c r="B6" s="399" t="s">
        <v>6</v>
      </c>
      <c r="C6" s="399" t="s">
        <v>7</v>
      </c>
      <c r="D6" s="399" t="s">
        <v>8</v>
      </c>
      <c r="E6" s="399" t="s">
        <v>9</v>
      </c>
      <c r="F6" s="399" t="s">
        <v>10</v>
      </c>
      <c r="G6" s="399" t="s">
        <v>11</v>
      </c>
      <c r="H6" s="399" t="s">
        <v>12</v>
      </c>
      <c r="I6" s="426" t="s">
        <v>13</v>
      </c>
      <c r="J6" s="439"/>
      <c r="K6" s="439"/>
      <c r="L6" s="439"/>
      <c r="M6" s="426" t="s">
        <v>14</v>
      </c>
      <c r="N6" s="439"/>
      <c r="O6" s="439"/>
      <c r="P6" s="439"/>
      <c r="Q6" s="399" t="s">
        <v>15</v>
      </c>
      <c r="R6" s="426" t="s">
        <v>16</v>
      </c>
      <c r="S6" s="426"/>
      <c r="T6" s="426" t="s">
        <v>17</v>
      </c>
      <c r="U6" s="426"/>
      <c r="V6" s="399" t="s">
        <v>18</v>
      </c>
      <c r="W6" s="442" t="s">
        <v>99</v>
      </c>
      <c r="X6" s="399" t="s">
        <v>424</v>
      </c>
      <c r="Y6" s="399" t="s">
        <v>21</v>
      </c>
      <c r="Z6" s="399" t="s">
        <v>22</v>
      </c>
      <c r="AA6" s="399" t="s">
        <v>23</v>
      </c>
      <c r="AB6" s="431" t="s">
        <v>24</v>
      </c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</row>
    <row r="7" spans="1:65" s="9" customFormat="1" ht="24.75" customHeight="1">
      <c r="A7" s="419"/>
      <c r="B7" s="429"/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4"/>
      <c r="R7" s="63" t="s">
        <v>29</v>
      </c>
      <c r="S7" s="63" t="s">
        <v>30</v>
      </c>
      <c r="T7" s="63" t="s">
        <v>232</v>
      </c>
      <c r="U7" s="63" t="s">
        <v>30</v>
      </c>
      <c r="V7" s="63"/>
      <c r="W7" s="443"/>
      <c r="X7" s="63"/>
      <c r="Y7" s="63"/>
      <c r="Z7" s="63"/>
      <c r="AA7" s="424"/>
      <c r="AB7" s="432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</row>
    <row r="8" spans="1:65" ht="25.5" customHeight="1">
      <c r="A8" s="419"/>
      <c r="B8" s="429"/>
      <c r="C8" s="429"/>
      <c r="D8" s="429"/>
      <c r="E8" s="429"/>
      <c r="F8" s="429"/>
      <c r="G8" s="429"/>
      <c r="H8" s="429"/>
      <c r="I8" s="56" t="s">
        <v>32</v>
      </c>
      <c r="J8" s="56" t="s">
        <v>33</v>
      </c>
      <c r="K8" s="56" t="s">
        <v>34</v>
      </c>
      <c r="L8" s="56" t="s">
        <v>26</v>
      </c>
      <c r="M8" s="56" t="s">
        <v>25</v>
      </c>
      <c r="N8" s="56" t="s">
        <v>26</v>
      </c>
      <c r="O8" s="56" t="s">
        <v>27</v>
      </c>
      <c r="P8" s="56" t="s">
        <v>28</v>
      </c>
      <c r="Q8" s="424"/>
      <c r="R8" s="63"/>
      <c r="S8" s="63"/>
      <c r="T8" s="424"/>
      <c r="U8" s="63"/>
      <c r="V8" s="63"/>
      <c r="W8" s="443"/>
      <c r="X8" s="63"/>
      <c r="Y8" s="63"/>
      <c r="Z8" s="63"/>
      <c r="AA8" s="424"/>
      <c r="AB8" s="432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</row>
    <row r="9" spans="1:28" ht="12.75">
      <c r="A9" s="169" t="s">
        <v>233</v>
      </c>
      <c r="B9" s="170">
        <v>982</v>
      </c>
      <c r="C9" s="171" t="s">
        <v>425</v>
      </c>
      <c r="D9" s="170">
        <v>20200301</v>
      </c>
      <c r="E9" s="171" t="s">
        <v>426</v>
      </c>
      <c r="F9" s="170" t="s">
        <v>38</v>
      </c>
      <c r="G9" s="170">
        <v>0</v>
      </c>
      <c r="H9" s="171" t="s">
        <v>273</v>
      </c>
      <c r="I9" s="170">
        <v>5945</v>
      </c>
      <c r="J9" s="170" t="s">
        <v>427</v>
      </c>
      <c r="K9" s="170">
        <v>0</v>
      </c>
      <c r="L9" s="170">
        <v>0</v>
      </c>
      <c r="M9" s="170">
        <v>0</v>
      </c>
      <c r="N9" s="170">
        <v>0</v>
      </c>
      <c r="O9" s="170">
        <v>0</v>
      </c>
      <c r="P9" s="116">
        <v>0</v>
      </c>
      <c r="Q9" s="171" t="s">
        <v>43</v>
      </c>
      <c r="R9" s="171"/>
      <c r="S9" s="171"/>
      <c r="T9" s="171"/>
      <c r="U9" s="171"/>
      <c r="V9" s="171"/>
      <c r="W9" s="172">
        <f>(Z9*I9/1000)/2000</f>
        <v>0.0160515</v>
      </c>
      <c r="X9" s="170">
        <v>0</v>
      </c>
      <c r="Y9" s="170">
        <v>3</v>
      </c>
      <c r="Z9" s="170">
        <v>5.4</v>
      </c>
      <c r="AA9" s="170" t="s">
        <v>428</v>
      </c>
      <c r="AB9" s="173" t="s">
        <v>429</v>
      </c>
    </row>
    <row r="10" spans="1:28" ht="12.75">
      <c r="A10" s="169" t="s">
        <v>233</v>
      </c>
      <c r="B10" s="170">
        <v>1030</v>
      </c>
      <c r="C10" s="171" t="s">
        <v>74</v>
      </c>
      <c r="D10" s="170">
        <v>20200101</v>
      </c>
      <c r="E10" s="171" t="s">
        <v>263</v>
      </c>
      <c r="F10" s="170" t="s">
        <v>38</v>
      </c>
      <c r="G10" s="170">
        <v>0</v>
      </c>
      <c r="H10" s="171" t="s">
        <v>430</v>
      </c>
      <c r="I10" s="170">
        <v>1896</v>
      </c>
      <c r="J10" s="170" t="s">
        <v>427</v>
      </c>
      <c r="K10" s="170">
        <v>0</v>
      </c>
      <c r="L10" s="170">
        <v>0</v>
      </c>
      <c r="M10" s="170">
        <v>0</v>
      </c>
      <c r="N10" s="170">
        <v>0</v>
      </c>
      <c r="O10" s="170">
        <v>0</v>
      </c>
      <c r="P10" s="116">
        <v>0</v>
      </c>
      <c r="Q10" s="171" t="s">
        <v>43</v>
      </c>
      <c r="R10" s="171"/>
      <c r="S10" s="171"/>
      <c r="T10" s="171"/>
      <c r="U10" s="171"/>
      <c r="V10" s="171"/>
      <c r="W10" s="172">
        <f>Z10*I10/1000/2000</f>
        <v>0.029795639999999998</v>
      </c>
      <c r="X10" s="170" t="s">
        <v>42</v>
      </c>
      <c r="Y10" s="170">
        <v>3</v>
      </c>
      <c r="Z10" s="170">
        <v>31.43</v>
      </c>
      <c r="AA10" s="170" t="s">
        <v>428</v>
      </c>
      <c r="AB10" s="173" t="s">
        <v>429</v>
      </c>
    </row>
    <row r="11" spans="1:28" ht="12.75">
      <c r="A11" s="169" t="s">
        <v>233</v>
      </c>
      <c r="B11" s="170">
        <v>1197</v>
      </c>
      <c r="C11" s="171" t="s">
        <v>71</v>
      </c>
      <c r="D11" s="170">
        <v>20200101</v>
      </c>
      <c r="E11" s="171" t="s">
        <v>119</v>
      </c>
      <c r="F11" s="170" t="s">
        <v>38</v>
      </c>
      <c r="G11" s="170">
        <v>0</v>
      </c>
      <c r="H11" s="171" t="s">
        <v>430</v>
      </c>
      <c r="I11" s="170">
        <v>5021</v>
      </c>
      <c r="J11" s="170" t="s">
        <v>427</v>
      </c>
      <c r="K11" s="170">
        <v>0</v>
      </c>
      <c r="L11" s="170">
        <v>0</v>
      </c>
      <c r="M11" s="170">
        <v>0</v>
      </c>
      <c r="N11" s="170">
        <v>0</v>
      </c>
      <c r="O11" s="170">
        <v>0</v>
      </c>
      <c r="P11" s="116">
        <v>0</v>
      </c>
      <c r="Q11" s="171" t="s">
        <v>43</v>
      </c>
      <c r="R11" s="171"/>
      <c r="S11" s="171"/>
      <c r="T11" s="171"/>
      <c r="U11" s="171"/>
      <c r="V11" s="171"/>
      <c r="W11" s="172">
        <f>Z11*I11/1000/2000</f>
        <v>0.07564136499999999</v>
      </c>
      <c r="X11" s="170" t="s">
        <v>42</v>
      </c>
      <c r="Y11" s="170">
        <v>3</v>
      </c>
      <c r="Z11" s="170">
        <v>30.13</v>
      </c>
      <c r="AA11" s="170" t="s">
        <v>428</v>
      </c>
      <c r="AB11" s="173" t="s">
        <v>429</v>
      </c>
    </row>
    <row r="12" spans="1:28" ht="12.75">
      <c r="A12" s="169" t="s">
        <v>233</v>
      </c>
      <c r="B12" s="170">
        <v>1198</v>
      </c>
      <c r="C12" s="171" t="s">
        <v>35</v>
      </c>
      <c r="D12" s="170">
        <v>20200101</v>
      </c>
      <c r="E12" s="171" t="s">
        <v>234</v>
      </c>
      <c r="F12" s="170" t="s">
        <v>38</v>
      </c>
      <c r="G12" s="170">
        <v>0</v>
      </c>
      <c r="H12" s="171" t="s">
        <v>430</v>
      </c>
      <c r="I12" s="170">
        <v>112845</v>
      </c>
      <c r="J12" s="170" t="s">
        <v>427</v>
      </c>
      <c r="K12" s="170">
        <v>0</v>
      </c>
      <c r="L12" s="170">
        <v>0</v>
      </c>
      <c r="M12" s="170">
        <v>0</v>
      </c>
      <c r="N12" s="170">
        <v>0</v>
      </c>
      <c r="O12" s="170">
        <v>0</v>
      </c>
      <c r="P12" s="116">
        <v>0</v>
      </c>
      <c r="Q12" s="171" t="s">
        <v>43</v>
      </c>
      <c r="R12" s="171"/>
      <c r="S12" s="171"/>
      <c r="T12" s="171"/>
      <c r="U12" s="171"/>
      <c r="V12" s="171"/>
      <c r="W12" s="172">
        <f>Z12*I12/1000/2000</f>
        <v>1.7665884749999998</v>
      </c>
      <c r="X12" s="170" t="s">
        <v>42</v>
      </c>
      <c r="Y12" s="170">
        <v>3</v>
      </c>
      <c r="Z12" s="170">
        <v>31.31</v>
      </c>
      <c r="AA12" s="170" t="s">
        <v>428</v>
      </c>
      <c r="AB12" s="173" t="s">
        <v>429</v>
      </c>
    </row>
    <row r="13" spans="1:28" ht="12.75">
      <c r="A13" s="169" t="s">
        <v>233</v>
      </c>
      <c r="B13" s="170">
        <v>1199</v>
      </c>
      <c r="C13" s="171" t="s">
        <v>63</v>
      </c>
      <c r="D13" s="170">
        <v>20200101</v>
      </c>
      <c r="E13" s="171" t="s">
        <v>431</v>
      </c>
      <c r="F13" s="170" t="s">
        <v>38</v>
      </c>
      <c r="G13" s="170">
        <v>0</v>
      </c>
      <c r="H13" s="171" t="s">
        <v>430</v>
      </c>
      <c r="I13" s="170">
        <v>137182</v>
      </c>
      <c r="J13" s="170" t="s">
        <v>427</v>
      </c>
      <c r="K13" s="170">
        <v>0</v>
      </c>
      <c r="L13" s="170">
        <v>0</v>
      </c>
      <c r="M13" s="170">
        <v>0</v>
      </c>
      <c r="N13" s="170">
        <v>0</v>
      </c>
      <c r="O13" s="170">
        <v>0</v>
      </c>
      <c r="P13" s="116">
        <v>0</v>
      </c>
      <c r="Q13" s="171" t="s">
        <v>43</v>
      </c>
      <c r="R13" s="171"/>
      <c r="S13" s="171"/>
      <c r="T13" s="171"/>
      <c r="U13" s="171"/>
      <c r="V13" s="171"/>
      <c r="W13" s="172">
        <f>Z13*I13/1000/2000</f>
        <v>2.1475842099999998</v>
      </c>
      <c r="X13" s="170" t="s">
        <v>42</v>
      </c>
      <c r="Y13" s="170">
        <v>3</v>
      </c>
      <c r="Z13" s="170">
        <v>31.31</v>
      </c>
      <c r="AA13" s="170" t="s">
        <v>428</v>
      </c>
      <c r="AB13" s="173" t="s">
        <v>429</v>
      </c>
    </row>
    <row r="14" spans="1:28" ht="12.75">
      <c r="A14" s="169" t="s">
        <v>35</v>
      </c>
      <c r="B14" s="170">
        <v>1306</v>
      </c>
      <c r="C14" s="171">
        <v>151</v>
      </c>
      <c r="D14" s="170">
        <v>30501604</v>
      </c>
      <c r="E14" s="171" t="s">
        <v>432</v>
      </c>
      <c r="F14" s="170" t="s">
        <v>52</v>
      </c>
      <c r="G14" s="170">
        <v>71</v>
      </c>
      <c r="H14" s="171" t="s">
        <v>433</v>
      </c>
      <c r="I14" s="170">
        <v>2391</v>
      </c>
      <c r="J14" s="170" t="s">
        <v>54</v>
      </c>
      <c r="K14" s="170">
        <v>600</v>
      </c>
      <c r="L14" s="170" t="s">
        <v>434</v>
      </c>
      <c r="M14" s="170" t="s">
        <v>435</v>
      </c>
      <c r="N14" s="170" t="s">
        <v>435</v>
      </c>
      <c r="O14" s="170" t="s">
        <v>435</v>
      </c>
      <c r="P14" s="170" t="s">
        <v>435</v>
      </c>
      <c r="Q14" s="171" t="s">
        <v>43</v>
      </c>
      <c r="R14" s="171" t="s">
        <v>151</v>
      </c>
      <c r="S14" s="171">
        <v>2</v>
      </c>
      <c r="T14" s="171"/>
      <c r="U14" s="171"/>
      <c r="V14" s="171">
        <v>80</v>
      </c>
      <c r="W14" s="172">
        <f>(Z14*I14/2000)+X14</f>
        <v>26.779199999999996</v>
      </c>
      <c r="X14" s="170">
        <v>0</v>
      </c>
      <c r="Y14" s="170">
        <v>5</v>
      </c>
      <c r="Z14" s="170">
        <v>22.4</v>
      </c>
      <c r="AA14" s="170" t="s">
        <v>49</v>
      </c>
      <c r="AB14" s="173" t="s">
        <v>436</v>
      </c>
    </row>
    <row r="15" spans="1:28" ht="12.75">
      <c r="A15" s="169" t="s">
        <v>35</v>
      </c>
      <c r="B15" s="170">
        <v>1307</v>
      </c>
      <c r="C15" s="171">
        <v>152</v>
      </c>
      <c r="D15" s="170">
        <v>30501604</v>
      </c>
      <c r="E15" s="171" t="s">
        <v>437</v>
      </c>
      <c r="F15" s="170" t="s">
        <v>52</v>
      </c>
      <c r="G15" s="170">
        <v>72</v>
      </c>
      <c r="H15" s="171" t="s">
        <v>433</v>
      </c>
      <c r="I15" s="170">
        <v>4485</v>
      </c>
      <c r="J15" s="170" t="s">
        <v>54</v>
      </c>
      <c r="K15" s="170">
        <v>600</v>
      </c>
      <c r="L15" s="170" t="s">
        <v>434</v>
      </c>
      <c r="M15" s="170">
        <v>0</v>
      </c>
      <c r="N15" s="170">
        <v>0</v>
      </c>
      <c r="O15" s="170" t="s">
        <v>42</v>
      </c>
      <c r="P15" s="170" t="s">
        <v>42</v>
      </c>
      <c r="Q15" s="171" t="s">
        <v>43</v>
      </c>
      <c r="R15" s="171" t="s">
        <v>147</v>
      </c>
      <c r="S15" s="171">
        <v>16</v>
      </c>
      <c r="T15" s="171"/>
      <c r="U15" s="171"/>
      <c r="V15" s="171">
        <v>99.8</v>
      </c>
      <c r="W15" s="172">
        <f>(Z15*I15/2000)</f>
        <v>50.232</v>
      </c>
      <c r="X15" s="170">
        <v>0.43</v>
      </c>
      <c r="Y15" s="170">
        <v>5</v>
      </c>
      <c r="Z15" s="170">
        <v>22.4</v>
      </c>
      <c r="AA15" s="170" t="s">
        <v>49</v>
      </c>
      <c r="AB15" s="173" t="s">
        <v>436</v>
      </c>
    </row>
    <row r="16" spans="1:28" ht="12.75">
      <c r="A16" s="169">
        <v>2</v>
      </c>
      <c r="B16" s="170">
        <v>1308</v>
      </c>
      <c r="C16" s="171">
        <v>153</v>
      </c>
      <c r="D16" s="170">
        <v>30501604</v>
      </c>
      <c r="E16" s="171" t="s">
        <v>438</v>
      </c>
      <c r="F16" s="170" t="s">
        <v>52</v>
      </c>
      <c r="G16" s="170">
        <v>73</v>
      </c>
      <c r="H16" s="171" t="s">
        <v>433</v>
      </c>
      <c r="I16" s="170">
        <v>6735</v>
      </c>
      <c r="J16" s="170" t="s">
        <v>54</v>
      </c>
      <c r="K16" s="170">
        <v>600</v>
      </c>
      <c r="L16" s="170" t="s">
        <v>434</v>
      </c>
      <c r="M16" s="170">
        <v>0</v>
      </c>
      <c r="N16" s="170">
        <v>0</v>
      </c>
      <c r="O16" s="170"/>
      <c r="P16" s="170"/>
      <c r="Q16" s="171" t="s">
        <v>43</v>
      </c>
      <c r="R16" s="171"/>
      <c r="S16" s="171"/>
      <c r="T16" s="171"/>
      <c r="U16" s="171"/>
      <c r="V16" s="171"/>
      <c r="W16" s="172">
        <f>Z16*I16/2000</f>
        <v>91.596</v>
      </c>
      <c r="X16" s="170">
        <v>2.65</v>
      </c>
      <c r="Y16" s="170">
        <v>2</v>
      </c>
      <c r="Z16" s="170">
        <v>27.2</v>
      </c>
      <c r="AA16" s="170" t="s">
        <v>49</v>
      </c>
      <c r="AB16" s="173" t="s">
        <v>436</v>
      </c>
    </row>
    <row r="17" spans="1:28" ht="12.75">
      <c r="A17" s="169" t="s">
        <v>233</v>
      </c>
      <c r="B17" s="170">
        <v>9664</v>
      </c>
      <c r="C17" s="171" t="s">
        <v>439</v>
      </c>
      <c r="D17" s="170">
        <v>20200101</v>
      </c>
      <c r="E17" s="171" t="s">
        <v>277</v>
      </c>
      <c r="F17" s="170" t="s">
        <v>38</v>
      </c>
      <c r="G17" s="170">
        <v>0</v>
      </c>
      <c r="H17" s="171" t="s">
        <v>430</v>
      </c>
      <c r="I17" s="170">
        <v>10333</v>
      </c>
      <c r="J17" s="170" t="s">
        <v>427</v>
      </c>
      <c r="K17" s="170"/>
      <c r="L17" s="170">
        <v>0</v>
      </c>
      <c r="M17" s="170">
        <v>0</v>
      </c>
      <c r="N17" s="170">
        <v>0</v>
      </c>
      <c r="O17" s="170">
        <v>0</v>
      </c>
      <c r="P17" s="170">
        <v>0</v>
      </c>
      <c r="Q17" s="171" t="s">
        <v>43</v>
      </c>
      <c r="R17" s="171"/>
      <c r="S17" s="171"/>
      <c r="T17" s="171"/>
      <c r="U17" s="171"/>
      <c r="V17" s="171"/>
      <c r="W17" s="172">
        <f aca="true" t="shared" si="0" ref="W17:W22">Z17*I17/1000/2000</f>
        <v>0.161763115</v>
      </c>
      <c r="X17" s="170" t="s">
        <v>42</v>
      </c>
      <c r="Y17" s="170">
        <v>3</v>
      </c>
      <c r="Z17" s="170">
        <v>31.31</v>
      </c>
      <c r="AA17" s="170" t="s">
        <v>428</v>
      </c>
      <c r="AB17" s="173" t="s">
        <v>429</v>
      </c>
    </row>
    <row r="18" spans="1:28" ht="12.75">
      <c r="A18" s="169" t="s">
        <v>233</v>
      </c>
      <c r="B18" s="170">
        <v>9665</v>
      </c>
      <c r="C18" s="171" t="s">
        <v>440</v>
      </c>
      <c r="D18" s="170">
        <v>20200101</v>
      </c>
      <c r="E18" s="171" t="s">
        <v>441</v>
      </c>
      <c r="F18" s="170" t="s">
        <v>38</v>
      </c>
      <c r="G18" s="170">
        <v>0</v>
      </c>
      <c r="H18" s="171" t="s">
        <v>430</v>
      </c>
      <c r="I18" s="170">
        <v>2663</v>
      </c>
      <c r="J18" s="170" t="s">
        <v>427</v>
      </c>
      <c r="K18" s="170"/>
      <c r="L18" s="170">
        <v>0</v>
      </c>
      <c r="M18" s="170">
        <v>0</v>
      </c>
      <c r="N18" s="170">
        <v>0</v>
      </c>
      <c r="O18" s="170">
        <v>0</v>
      </c>
      <c r="P18" s="170">
        <v>0</v>
      </c>
      <c r="Q18" s="171" t="s">
        <v>43</v>
      </c>
      <c r="R18" s="171"/>
      <c r="S18" s="171"/>
      <c r="T18" s="171"/>
      <c r="U18" s="171"/>
      <c r="V18" s="171"/>
      <c r="W18" s="172">
        <f t="shared" si="0"/>
        <v>0.041689264999999996</v>
      </c>
      <c r="X18" s="170" t="s">
        <v>42</v>
      </c>
      <c r="Y18" s="170">
        <v>3</v>
      </c>
      <c r="Z18" s="170">
        <v>31.31</v>
      </c>
      <c r="AA18" s="170" t="s">
        <v>428</v>
      </c>
      <c r="AB18" s="173" t="s">
        <v>429</v>
      </c>
    </row>
    <row r="19" spans="1:28" ht="12.75">
      <c r="A19" s="169" t="s">
        <v>233</v>
      </c>
      <c r="B19" s="170">
        <v>9666</v>
      </c>
      <c r="C19" s="171" t="s">
        <v>442</v>
      </c>
      <c r="D19" s="170">
        <v>20200101</v>
      </c>
      <c r="E19" s="171" t="s">
        <v>443</v>
      </c>
      <c r="F19" s="170" t="s">
        <v>38</v>
      </c>
      <c r="G19" s="170">
        <v>0</v>
      </c>
      <c r="H19" s="171" t="s">
        <v>430</v>
      </c>
      <c r="I19" s="170">
        <v>37520</v>
      </c>
      <c r="J19" s="170" t="s">
        <v>427</v>
      </c>
      <c r="K19" s="170"/>
      <c r="L19" s="170">
        <v>0</v>
      </c>
      <c r="M19" s="170">
        <v>0</v>
      </c>
      <c r="N19" s="170">
        <v>0</v>
      </c>
      <c r="O19" s="170">
        <v>0</v>
      </c>
      <c r="P19" s="170">
        <v>0</v>
      </c>
      <c r="Q19" s="171" t="s">
        <v>43</v>
      </c>
      <c r="R19" s="171"/>
      <c r="S19" s="171"/>
      <c r="T19" s="171"/>
      <c r="U19" s="171"/>
      <c r="V19" s="171"/>
      <c r="W19" s="172">
        <f t="shared" si="0"/>
        <v>0.5821228</v>
      </c>
      <c r="X19" s="170" t="s">
        <v>42</v>
      </c>
      <c r="Y19" s="170">
        <v>3</v>
      </c>
      <c r="Z19" s="170">
        <v>31.03</v>
      </c>
      <c r="AA19" s="170" t="s">
        <v>428</v>
      </c>
      <c r="AB19" s="173" t="s">
        <v>429</v>
      </c>
    </row>
    <row r="20" spans="1:28" ht="12.75">
      <c r="A20" s="169" t="s">
        <v>35</v>
      </c>
      <c r="B20" s="170">
        <v>11726</v>
      </c>
      <c r="C20" s="171" t="s">
        <v>444</v>
      </c>
      <c r="D20" s="170">
        <v>10301002</v>
      </c>
      <c r="E20" s="171" t="s">
        <v>445</v>
      </c>
      <c r="F20" s="170" t="s">
        <v>38</v>
      </c>
      <c r="G20" s="170">
        <v>71</v>
      </c>
      <c r="H20" s="171" t="s">
        <v>446</v>
      </c>
      <c r="I20" s="170">
        <v>2736</v>
      </c>
      <c r="J20" s="170" t="s">
        <v>427</v>
      </c>
      <c r="K20" s="170"/>
      <c r="L20" s="170">
        <v>0</v>
      </c>
      <c r="M20" s="170">
        <v>21500</v>
      </c>
      <c r="N20" s="170" t="s">
        <v>80</v>
      </c>
      <c r="O20" s="170">
        <v>0</v>
      </c>
      <c r="P20" s="170">
        <v>0</v>
      </c>
      <c r="Q20" s="171" t="s">
        <v>43</v>
      </c>
      <c r="R20" s="171"/>
      <c r="S20" s="171"/>
      <c r="T20" s="171"/>
      <c r="U20" s="171"/>
      <c r="V20" s="171"/>
      <c r="W20" s="172">
        <f t="shared" si="0"/>
        <v>0.00042407999999999996</v>
      </c>
      <c r="X20" s="170">
        <v>0</v>
      </c>
      <c r="Y20" s="170">
        <v>3</v>
      </c>
      <c r="Z20" s="170">
        <v>0.31</v>
      </c>
      <c r="AA20" s="170" t="s">
        <v>428</v>
      </c>
      <c r="AB20" s="173" t="s">
        <v>447</v>
      </c>
    </row>
    <row r="21" spans="1:28" ht="12.75">
      <c r="A21" s="169" t="s">
        <v>35</v>
      </c>
      <c r="B21" s="170">
        <v>11727</v>
      </c>
      <c r="C21" s="171" t="s">
        <v>448</v>
      </c>
      <c r="D21" s="170">
        <v>10301002</v>
      </c>
      <c r="E21" s="171" t="s">
        <v>449</v>
      </c>
      <c r="F21" s="170" t="s">
        <v>38</v>
      </c>
      <c r="G21" s="170">
        <v>72</v>
      </c>
      <c r="H21" s="171" t="s">
        <v>446</v>
      </c>
      <c r="I21" s="170">
        <v>6471</v>
      </c>
      <c r="J21" s="170" t="s">
        <v>427</v>
      </c>
      <c r="K21" s="170"/>
      <c r="L21" s="170">
        <v>0</v>
      </c>
      <c r="M21" s="170">
        <v>0.075</v>
      </c>
      <c r="N21" s="170" t="s">
        <v>80</v>
      </c>
      <c r="O21" s="170">
        <v>0</v>
      </c>
      <c r="P21" s="170">
        <v>0</v>
      </c>
      <c r="Q21" s="171" t="s">
        <v>43</v>
      </c>
      <c r="R21" s="171"/>
      <c r="S21" s="171"/>
      <c r="T21" s="171"/>
      <c r="U21" s="171"/>
      <c r="V21" s="171"/>
      <c r="W21" s="172">
        <f t="shared" si="0"/>
        <v>0.001003005</v>
      </c>
      <c r="X21" s="170">
        <v>0</v>
      </c>
      <c r="Y21" s="170">
        <v>3</v>
      </c>
      <c r="Z21" s="170">
        <v>0.31</v>
      </c>
      <c r="AA21" s="170" t="s">
        <v>428</v>
      </c>
      <c r="AB21" s="173" t="s">
        <v>447</v>
      </c>
    </row>
    <row r="22" spans="1:28" ht="12.75">
      <c r="A22" s="169" t="s">
        <v>35</v>
      </c>
      <c r="B22" s="170">
        <v>11728</v>
      </c>
      <c r="C22" s="171" t="s">
        <v>450</v>
      </c>
      <c r="D22" s="170">
        <v>10301002</v>
      </c>
      <c r="E22" s="171" t="s">
        <v>451</v>
      </c>
      <c r="F22" s="170" t="s">
        <v>38</v>
      </c>
      <c r="G22" s="170">
        <v>73</v>
      </c>
      <c r="H22" s="171" t="s">
        <v>446</v>
      </c>
      <c r="I22" s="170">
        <v>8362</v>
      </c>
      <c r="J22" s="170" t="s">
        <v>427</v>
      </c>
      <c r="K22" s="170"/>
      <c r="L22" s="170">
        <v>0</v>
      </c>
      <c r="M22" s="170">
        <v>21500</v>
      </c>
      <c r="N22" s="170" t="s">
        <v>80</v>
      </c>
      <c r="O22" s="170">
        <v>0</v>
      </c>
      <c r="P22" s="170">
        <v>0</v>
      </c>
      <c r="Q22" s="171" t="s">
        <v>43</v>
      </c>
      <c r="R22" s="171"/>
      <c r="S22" s="171"/>
      <c r="T22" s="171"/>
      <c r="U22" s="171"/>
      <c r="V22" s="171"/>
      <c r="W22" s="172">
        <f t="shared" si="0"/>
        <v>0.0012961099999999998</v>
      </c>
      <c r="X22" s="170">
        <v>0</v>
      </c>
      <c r="Y22" s="170">
        <v>3</v>
      </c>
      <c r="Z22" s="170">
        <v>0.31</v>
      </c>
      <c r="AA22" s="170" t="s">
        <v>428</v>
      </c>
      <c r="AB22" s="173" t="s">
        <v>452</v>
      </c>
    </row>
    <row r="23" spans="1:28" ht="12.75">
      <c r="A23" s="169">
        <v>6</v>
      </c>
      <c r="B23" s="170">
        <v>5188</v>
      </c>
      <c r="C23" s="171">
        <v>2</v>
      </c>
      <c r="D23" s="170">
        <v>30502009</v>
      </c>
      <c r="E23" s="171" t="s">
        <v>453</v>
      </c>
      <c r="F23" s="170"/>
      <c r="G23" s="170"/>
      <c r="H23" s="171" t="s">
        <v>454</v>
      </c>
      <c r="I23" s="170">
        <v>311.225</v>
      </c>
      <c r="J23" s="170" t="s">
        <v>243</v>
      </c>
      <c r="K23" s="170"/>
      <c r="L23" s="170"/>
      <c r="M23" s="170"/>
      <c r="N23" s="170"/>
      <c r="O23" s="170"/>
      <c r="P23" s="170"/>
      <c r="Q23" s="171" t="s">
        <v>43</v>
      </c>
      <c r="R23" s="171"/>
      <c r="S23" s="171"/>
      <c r="T23" s="171"/>
      <c r="U23" s="171"/>
      <c r="V23" s="171"/>
      <c r="W23" s="172">
        <f>Z23*I23/2000</f>
        <v>0.31122500000000003</v>
      </c>
      <c r="X23" s="170" t="s">
        <v>103</v>
      </c>
      <c r="Y23" s="170">
        <v>3</v>
      </c>
      <c r="Z23" s="170">
        <v>2</v>
      </c>
      <c r="AA23" s="170" t="s">
        <v>455</v>
      </c>
      <c r="AB23" s="173" t="s">
        <v>456</v>
      </c>
    </row>
    <row r="24" spans="1:28" ht="12.75">
      <c r="A24" s="169">
        <v>2</v>
      </c>
      <c r="B24" s="170">
        <v>20138</v>
      </c>
      <c r="C24" s="171">
        <v>154</v>
      </c>
      <c r="D24" s="170">
        <v>30501604</v>
      </c>
      <c r="E24" s="171" t="s">
        <v>457</v>
      </c>
      <c r="F24" s="170" t="s">
        <v>52</v>
      </c>
      <c r="G24" s="170">
        <v>73</v>
      </c>
      <c r="H24" s="171" t="s">
        <v>458</v>
      </c>
      <c r="I24" s="170">
        <v>6255</v>
      </c>
      <c r="J24" s="170" t="s">
        <v>54</v>
      </c>
      <c r="K24" s="170"/>
      <c r="L24" s="170"/>
      <c r="M24" s="170"/>
      <c r="N24" s="170"/>
      <c r="O24" s="170"/>
      <c r="P24" s="170"/>
      <c r="Q24" s="171" t="s">
        <v>43</v>
      </c>
      <c r="R24" s="171"/>
      <c r="S24" s="171"/>
      <c r="T24" s="171"/>
      <c r="U24" s="171"/>
      <c r="V24" s="171"/>
      <c r="W24" s="172">
        <f>Z24*I24/2000+X24</f>
        <v>154.296</v>
      </c>
      <c r="X24" s="170">
        <v>34.2</v>
      </c>
      <c r="Y24" s="170">
        <v>2</v>
      </c>
      <c r="Z24" s="170">
        <v>38.4</v>
      </c>
      <c r="AA24" s="170" t="s">
        <v>49</v>
      </c>
      <c r="AB24" s="173" t="s">
        <v>436</v>
      </c>
    </row>
    <row r="25" spans="1:28" ht="12.75">
      <c r="A25" s="169">
        <v>2</v>
      </c>
      <c r="B25" s="170">
        <v>20141</v>
      </c>
      <c r="C25" s="171" t="s">
        <v>459</v>
      </c>
      <c r="D25" s="170">
        <v>10301002</v>
      </c>
      <c r="E25" s="171" t="s">
        <v>460</v>
      </c>
      <c r="F25" s="170" t="s">
        <v>38</v>
      </c>
      <c r="G25" s="170">
        <v>73</v>
      </c>
      <c r="H25" s="171" t="s">
        <v>446</v>
      </c>
      <c r="I25" s="170">
        <v>8798</v>
      </c>
      <c r="J25" s="170" t="s">
        <v>427</v>
      </c>
      <c r="K25" s="170"/>
      <c r="L25" s="170"/>
      <c r="M25" s="170">
        <v>21500</v>
      </c>
      <c r="N25" s="170" t="s">
        <v>80</v>
      </c>
      <c r="O25" s="170">
        <v>0</v>
      </c>
      <c r="P25" s="170">
        <v>0</v>
      </c>
      <c r="Q25" s="171" t="s">
        <v>43</v>
      </c>
      <c r="R25" s="171"/>
      <c r="S25" s="171"/>
      <c r="T25" s="171"/>
      <c r="U25" s="171"/>
      <c r="V25" s="171"/>
      <c r="W25" s="172">
        <f>(Z25*I25/2000)/1000</f>
        <v>0.00136369</v>
      </c>
      <c r="X25" s="170" t="s">
        <v>103</v>
      </c>
      <c r="Y25" s="170">
        <v>3</v>
      </c>
      <c r="Z25" s="170">
        <v>0.31</v>
      </c>
      <c r="AA25" s="170" t="s">
        <v>428</v>
      </c>
      <c r="AB25" s="173" t="s">
        <v>461</v>
      </c>
    </row>
    <row r="26" spans="1:28" ht="12.75">
      <c r="A26" s="169">
        <v>2</v>
      </c>
      <c r="B26" s="170">
        <v>11731</v>
      </c>
      <c r="C26" s="171" t="s">
        <v>462</v>
      </c>
      <c r="D26" s="170">
        <v>30501604</v>
      </c>
      <c r="E26" s="171" t="s">
        <v>463</v>
      </c>
      <c r="F26" s="170" t="s">
        <v>38</v>
      </c>
      <c r="G26" s="170">
        <v>71</v>
      </c>
      <c r="H26" s="171" t="s">
        <v>430</v>
      </c>
      <c r="I26" s="170">
        <v>7500</v>
      </c>
      <c r="J26" s="170" t="s">
        <v>427</v>
      </c>
      <c r="K26" s="116"/>
      <c r="L26" s="116"/>
      <c r="M26" s="116">
        <v>19506</v>
      </c>
      <c r="N26" s="116" t="s">
        <v>80</v>
      </c>
      <c r="O26" s="170">
        <v>0.5</v>
      </c>
      <c r="P26" s="170"/>
      <c r="Q26" s="171" t="s">
        <v>43</v>
      </c>
      <c r="R26" s="171"/>
      <c r="S26" s="171"/>
      <c r="T26" s="171"/>
      <c r="U26" s="171"/>
      <c r="V26" s="171"/>
      <c r="W26" s="172">
        <f>Z26*I26/1000/2000</f>
        <v>0.3050625</v>
      </c>
      <c r="X26" s="170"/>
      <c r="Y26" s="170">
        <v>3</v>
      </c>
      <c r="Z26" s="170">
        <v>81.35</v>
      </c>
      <c r="AA26" s="170" t="s">
        <v>428</v>
      </c>
      <c r="AB26" s="173" t="s">
        <v>464</v>
      </c>
    </row>
    <row r="27" spans="1:28" ht="12.75">
      <c r="A27" s="169">
        <v>2</v>
      </c>
      <c r="B27" s="170">
        <v>3906</v>
      </c>
      <c r="C27" s="171" t="s">
        <v>465</v>
      </c>
      <c r="D27" s="170">
        <v>30501604</v>
      </c>
      <c r="E27" s="171" t="s">
        <v>466</v>
      </c>
      <c r="F27" s="170" t="s">
        <v>38</v>
      </c>
      <c r="G27" s="170">
        <v>72</v>
      </c>
      <c r="H27" s="171" t="s">
        <v>430</v>
      </c>
      <c r="I27" s="170">
        <v>12210</v>
      </c>
      <c r="J27" s="170" t="s">
        <v>427</v>
      </c>
      <c r="K27" s="116"/>
      <c r="L27" s="116"/>
      <c r="M27" s="170">
        <v>19506</v>
      </c>
      <c r="N27" s="170" t="s">
        <v>80</v>
      </c>
      <c r="O27" s="170">
        <v>0.5</v>
      </c>
      <c r="P27" s="170"/>
      <c r="Q27" s="171" t="s">
        <v>43</v>
      </c>
      <c r="R27" s="171"/>
      <c r="S27" s="171"/>
      <c r="T27" s="171"/>
      <c r="U27" s="171"/>
      <c r="V27" s="171"/>
      <c r="W27" s="172">
        <f>Z27*I27/1000/2000</f>
        <v>0.49664174999999994</v>
      </c>
      <c r="X27" s="170"/>
      <c r="Y27" s="170">
        <v>3</v>
      </c>
      <c r="Z27" s="170">
        <v>81.35</v>
      </c>
      <c r="AA27" s="170" t="s">
        <v>428</v>
      </c>
      <c r="AB27" s="173" t="s">
        <v>464</v>
      </c>
    </row>
    <row r="28" spans="1:28" ht="12.75">
      <c r="A28" s="169">
        <v>2</v>
      </c>
      <c r="B28" s="170">
        <v>11729</v>
      </c>
      <c r="C28" s="171" t="s">
        <v>467</v>
      </c>
      <c r="D28" s="170">
        <v>30501604</v>
      </c>
      <c r="E28" s="171" t="s">
        <v>468</v>
      </c>
      <c r="F28" s="170" t="s">
        <v>38</v>
      </c>
      <c r="G28" s="170">
        <v>73</v>
      </c>
      <c r="H28" s="171" t="s">
        <v>430</v>
      </c>
      <c r="I28" s="170">
        <v>19556</v>
      </c>
      <c r="J28" s="170" t="s">
        <v>427</v>
      </c>
      <c r="K28" s="116"/>
      <c r="L28" s="116"/>
      <c r="M28" s="170">
        <v>19506</v>
      </c>
      <c r="N28" s="170" t="s">
        <v>80</v>
      </c>
      <c r="O28" s="170">
        <v>0.5</v>
      </c>
      <c r="P28" s="170"/>
      <c r="Q28" s="171" t="s">
        <v>43</v>
      </c>
      <c r="R28" s="171"/>
      <c r="S28" s="171"/>
      <c r="T28" s="171"/>
      <c r="U28" s="171"/>
      <c r="V28" s="171"/>
      <c r="W28" s="172">
        <f>Z28*I28/1000/2000</f>
        <v>0.7954403</v>
      </c>
      <c r="X28" s="170"/>
      <c r="Y28" s="170">
        <v>3</v>
      </c>
      <c r="Z28" s="170">
        <v>81.35</v>
      </c>
      <c r="AA28" s="170" t="s">
        <v>428</v>
      </c>
      <c r="AB28" s="173" t="s">
        <v>464</v>
      </c>
    </row>
    <row r="29" spans="1:28" ht="13.5" thickBot="1">
      <c r="A29" s="174">
        <v>2</v>
      </c>
      <c r="B29" s="175">
        <v>20139</v>
      </c>
      <c r="C29" s="176" t="s">
        <v>469</v>
      </c>
      <c r="D29" s="175">
        <v>30501604</v>
      </c>
      <c r="E29" s="176" t="s">
        <v>460</v>
      </c>
      <c r="F29" s="175" t="s">
        <v>38</v>
      </c>
      <c r="G29" s="175">
        <v>73</v>
      </c>
      <c r="H29" s="176" t="s">
        <v>430</v>
      </c>
      <c r="I29" s="175">
        <v>28267</v>
      </c>
      <c r="J29" s="175" t="s">
        <v>427</v>
      </c>
      <c r="K29" s="119"/>
      <c r="L29" s="119"/>
      <c r="M29" s="175">
        <v>19506</v>
      </c>
      <c r="N29" s="175" t="s">
        <v>80</v>
      </c>
      <c r="O29" s="175">
        <v>0.5</v>
      </c>
      <c r="P29" s="175"/>
      <c r="Q29" s="176" t="s">
        <v>43</v>
      </c>
      <c r="R29" s="176"/>
      <c r="S29" s="176"/>
      <c r="T29" s="176"/>
      <c r="U29" s="176"/>
      <c r="V29" s="176"/>
      <c r="W29" s="177">
        <f>Z29*I29/1000/2000</f>
        <v>1.1497602249999999</v>
      </c>
      <c r="X29" s="175"/>
      <c r="Y29" s="175">
        <v>3</v>
      </c>
      <c r="Z29" s="175">
        <v>81.35</v>
      </c>
      <c r="AA29" s="175" t="s">
        <v>428</v>
      </c>
      <c r="AB29" s="178" t="s">
        <v>464</v>
      </c>
    </row>
    <row r="30" spans="1:28" ht="13.5" thickBot="1">
      <c r="A30" s="179"/>
      <c r="B30" s="180"/>
      <c r="C30" s="179"/>
      <c r="D30" s="180"/>
      <c r="E30" s="179"/>
      <c r="F30" s="180"/>
      <c r="G30" s="180"/>
      <c r="H30" s="179"/>
      <c r="I30" s="180"/>
      <c r="J30" s="180"/>
      <c r="K30" s="107"/>
      <c r="L30" s="107"/>
      <c r="M30" s="180"/>
      <c r="N30" s="180"/>
      <c r="O30" s="180"/>
      <c r="P30" s="180"/>
      <c r="Q30" s="179"/>
      <c r="R30" s="179"/>
      <c r="S30" s="179"/>
      <c r="T30" s="179"/>
      <c r="U30" s="179"/>
      <c r="V30" s="140" t="s">
        <v>86</v>
      </c>
      <c r="W30" s="141">
        <f>SUM(W9:W29)</f>
        <v>330.78665303</v>
      </c>
      <c r="X30" s="180"/>
      <c r="Y30" s="180"/>
      <c r="Z30" s="180"/>
      <c r="AA30" s="180"/>
      <c r="AB30" s="179"/>
    </row>
    <row r="31" ht="13.5" thickTop="1"/>
    <row r="32" ht="12.75">
      <c r="C32" s="59" t="s">
        <v>470</v>
      </c>
    </row>
    <row r="33" ht="12.75">
      <c r="C33" t="s">
        <v>471</v>
      </c>
    </row>
    <row r="34" ht="12.75">
      <c r="D34" t="s">
        <v>472</v>
      </c>
    </row>
    <row r="35" spans="3:4" ht="12.75">
      <c r="C35">
        <v>1306</v>
      </c>
      <c r="D35" t="s">
        <v>473</v>
      </c>
    </row>
    <row r="36" spans="3:4" ht="12.75">
      <c r="C36">
        <v>1307</v>
      </c>
      <c r="D36" t="s">
        <v>474</v>
      </c>
    </row>
    <row r="37" spans="3:4" ht="12.75">
      <c r="C37">
        <v>1308</v>
      </c>
      <c r="D37" t="s">
        <v>475</v>
      </c>
    </row>
    <row r="38" ht="12.75">
      <c r="C38" t="s">
        <v>289</v>
      </c>
    </row>
    <row r="39" ht="12.75">
      <c r="D39" t="s">
        <v>476</v>
      </c>
    </row>
    <row r="40" ht="12.75">
      <c r="D40" t="s">
        <v>477</v>
      </c>
    </row>
    <row r="41" ht="12.75">
      <c r="D41" t="s">
        <v>478</v>
      </c>
    </row>
    <row r="42" ht="12.75">
      <c r="D42" t="s">
        <v>479</v>
      </c>
    </row>
    <row r="43" ht="12.75">
      <c r="D43" t="s">
        <v>480</v>
      </c>
    </row>
    <row r="44" ht="12.75">
      <c r="D44" t="s">
        <v>481</v>
      </c>
    </row>
    <row r="45" ht="12.75">
      <c r="D45" t="s">
        <v>482</v>
      </c>
    </row>
    <row r="46" ht="12.75">
      <c r="D46" t="s">
        <v>483</v>
      </c>
    </row>
  </sheetData>
  <mergeCells count="24">
    <mergeCell ref="Y6:Y8"/>
    <mergeCell ref="Z6:Z8"/>
    <mergeCell ref="AA6:AA8"/>
    <mergeCell ref="AB6:AB8"/>
    <mergeCell ref="T6:U6"/>
    <mergeCell ref="V6:V8"/>
    <mergeCell ref="W6:W8"/>
    <mergeCell ref="X6:X8"/>
    <mergeCell ref="T7:T8"/>
    <mergeCell ref="U7:U8"/>
    <mergeCell ref="I6:L7"/>
    <mergeCell ref="M6:P7"/>
    <mergeCell ref="Q6:Q8"/>
    <mergeCell ref="R6:S6"/>
    <mergeCell ref="R7:R8"/>
    <mergeCell ref="S7:S8"/>
    <mergeCell ref="E6:E8"/>
    <mergeCell ref="F6:F8"/>
    <mergeCell ref="G6:G8"/>
    <mergeCell ref="H6:H8"/>
    <mergeCell ref="A6:A8"/>
    <mergeCell ref="B6:B8"/>
    <mergeCell ref="C6:C8"/>
    <mergeCell ref="D6:D8"/>
  </mergeCells>
  <printOptions horizontalCentered="1"/>
  <pageMargins left="0.75" right="0.75" top="1.48" bottom="1" header="0.5" footer="0.5"/>
  <pageSetup horizontalDpi="600" verticalDpi="600" orientation="landscape" pageOrder="overThenDown" r:id="rId1"/>
  <headerFooter alignWithMargins="0">
    <oddHeader>&amp;L
Graymont Western US Inc.
Site Name:  Cricket Mountain Plant
Site ID:  10313
&amp;CRegional Haze
2000 Statewide SOx Sources</oddHeader>
    <oddFooter>&amp;R&amp;D
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N25"/>
  <sheetViews>
    <sheetView workbookViewId="0" topLeftCell="A1">
      <selection activeCell="E4" sqref="E4"/>
    </sheetView>
  </sheetViews>
  <sheetFormatPr defaultColWidth="9.140625" defaultRowHeight="12.75"/>
  <cols>
    <col min="1" max="1" width="7.57421875" style="0" customWidth="1"/>
    <col min="2" max="2" width="8.140625" style="0" customWidth="1"/>
    <col min="3" max="3" width="7.28125" style="0" customWidth="1"/>
    <col min="4" max="4" width="9.00390625" style="0" bestFit="1" customWidth="1"/>
    <col min="5" max="5" width="21.00390625" style="0" bestFit="1" customWidth="1"/>
    <col min="6" max="6" width="8.140625" style="0" customWidth="1"/>
    <col min="8" max="8" width="11.140625" style="0" customWidth="1"/>
    <col min="9" max="9" width="12.421875" style="0" customWidth="1"/>
    <col min="11" max="11" width="11.00390625" style="0" customWidth="1"/>
    <col min="14" max="14" width="11.57421875" style="0" customWidth="1"/>
    <col min="15" max="15" width="15.28125" style="0" customWidth="1"/>
    <col min="16" max="16" width="10.7109375" style="0" customWidth="1"/>
    <col min="17" max="17" width="18.8515625" style="0" customWidth="1"/>
    <col min="19" max="19" width="13.140625" style="0" customWidth="1"/>
    <col min="20" max="20" width="10.28125" style="0" customWidth="1"/>
    <col min="21" max="21" width="11.57421875" style="0" customWidth="1"/>
    <col min="22" max="22" width="12.57421875" style="0" customWidth="1"/>
    <col min="23" max="23" width="13.57421875" style="0" customWidth="1"/>
    <col min="24" max="25" width="11.7109375" style="0" customWidth="1"/>
    <col min="28" max="28" width="19.57421875" style="0" customWidth="1"/>
    <col min="29" max="29" width="10.57421875" style="0" customWidth="1"/>
    <col min="30" max="30" width="19.7109375" style="0" bestFit="1" customWidth="1"/>
  </cols>
  <sheetData>
    <row r="1" spans="1:6" ht="15.75">
      <c r="A1" s="59" t="s">
        <v>229</v>
      </c>
      <c r="B1" s="59"/>
      <c r="C1" t="s">
        <v>539</v>
      </c>
      <c r="E1" s="4" t="s">
        <v>1</v>
      </c>
      <c r="F1" s="4"/>
    </row>
    <row r="2" spans="1:6" ht="15">
      <c r="A2" s="59"/>
      <c r="B2" s="59"/>
      <c r="E2" s="5" t="s">
        <v>95</v>
      </c>
      <c r="F2" s="5"/>
    </row>
    <row r="3" spans="1:3" ht="12.75">
      <c r="A3" s="59" t="s">
        <v>2</v>
      </c>
      <c r="B3" s="59" t="s">
        <v>3</v>
      </c>
      <c r="C3" t="s">
        <v>540</v>
      </c>
    </row>
    <row r="4" spans="1:3" ht="12.75">
      <c r="A4" s="59">
        <v>10007</v>
      </c>
      <c r="B4" s="59" t="s">
        <v>541</v>
      </c>
      <c r="C4" t="s">
        <v>542</v>
      </c>
    </row>
    <row r="5" ht="13.5" thickBot="1">
      <c r="C5" t="s">
        <v>543</v>
      </c>
    </row>
    <row r="6" spans="1:66" ht="16.5" customHeight="1">
      <c r="A6" s="418" t="s">
        <v>5</v>
      </c>
      <c r="B6" s="399" t="s">
        <v>6</v>
      </c>
      <c r="C6" s="399" t="s">
        <v>7</v>
      </c>
      <c r="D6" s="399" t="s">
        <v>8</v>
      </c>
      <c r="E6" s="399" t="s">
        <v>9</v>
      </c>
      <c r="F6" s="399" t="s">
        <v>10</v>
      </c>
      <c r="G6" s="399" t="s">
        <v>11</v>
      </c>
      <c r="H6" s="399" t="s">
        <v>12</v>
      </c>
      <c r="I6" s="426" t="s">
        <v>13</v>
      </c>
      <c r="J6" s="426"/>
      <c r="K6" s="426"/>
      <c r="L6" s="426"/>
      <c r="M6" s="426" t="s">
        <v>14</v>
      </c>
      <c r="N6" s="426"/>
      <c r="O6" s="426"/>
      <c r="P6" s="426"/>
      <c r="Q6" s="399" t="s">
        <v>15</v>
      </c>
      <c r="R6" s="426" t="s">
        <v>16</v>
      </c>
      <c r="S6" s="426"/>
      <c r="T6" s="426" t="s">
        <v>17</v>
      </c>
      <c r="U6" s="426"/>
      <c r="V6" s="399" t="s">
        <v>18</v>
      </c>
      <c r="W6" s="445" t="s">
        <v>99</v>
      </c>
      <c r="X6" s="399" t="s">
        <v>100</v>
      </c>
      <c r="Y6" s="399" t="s">
        <v>21</v>
      </c>
      <c r="Z6" s="399" t="s">
        <v>22</v>
      </c>
      <c r="AA6" s="399" t="s">
        <v>23</v>
      </c>
      <c r="AB6" s="431" t="s">
        <v>24</v>
      </c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</row>
    <row r="7" spans="1:66" s="9" customFormat="1" ht="24.75" customHeight="1">
      <c r="A7" s="470"/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63" t="s">
        <v>29</v>
      </c>
      <c r="S7" s="63" t="s">
        <v>30</v>
      </c>
      <c r="T7" s="63" t="s">
        <v>31</v>
      </c>
      <c r="U7" s="63" t="s">
        <v>30</v>
      </c>
      <c r="V7" s="63"/>
      <c r="W7" s="446"/>
      <c r="X7" s="63"/>
      <c r="Y7" s="63"/>
      <c r="Z7" s="63"/>
      <c r="AA7" s="424"/>
      <c r="AB7" s="432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</row>
    <row r="8" spans="1:66" ht="25.5" customHeight="1" thickBot="1">
      <c r="A8" s="471"/>
      <c r="B8" s="425"/>
      <c r="C8" s="425"/>
      <c r="D8" s="425"/>
      <c r="E8" s="425"/>
      <c r="F8" s="425"/>
      <c r="G8" s="425"/>
      <c r="H8" s="425"/>
      <c r="I8" s="58" t="s">
        <v>32</v>
      </c>
      <c r="J8" s="58" t="s">
        <v>33</v>
      </c>
      <c r="K8" s="58" t="s">
        <v>34</v>
      </c>
      <c r="L8" s="58" t="s">
        <v>26</v>
      </c>
      <c r="M8" s="58" t="s">
        <v>25</v>
      </c>
      <c r="N8" s="58" t="s">
        <v>26</v>
      </c>
      <c r="O8" s="58" t="s">
        <v>27</v>
      </c>
      <c r="P8" s="58" t="s">
        <v>28</v>
      </c>
      <c r="Q8" s="425"/>
      <c r="R8" s="377"/>
      <c r="S8" s="377"/>
      <c r="T8" s="425"/>
      <c r="U8" s="377"/>
      <c r="V8" s="377"/>
      <c r="W8" s="447"/>
      <c r="X8" s="377"/>
      <c r="Y8" s="377"/>
      <c r="Z8" s="377"/>
      <c r="AA8" s="425"/>
      <c r="AB8" s="433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</row>
    <row r="9" spans="1:28" ht="12.75">
      <c r="A9" s="192">
        <v>3</v>
      </c>
      <c r="B9" s="113">
        <v>17342</v>
      </c>
      <c r="C9" s="113" t="s">
        <v>544</v>
      </c>
      <c r="D9" s="113">
        <v>30500623</v>
      </c>
      <c r="E9" s="113" t="s">
        <v>545</v>
      </c>
      <c r="F9" s="113" t="s">
        <v>38</v>
      </c>
      <c r="G9" s="113">
        <v>16758</v>
      </c>
      <c r="H9" s="113" t="s">
        <v>109</v>
      </c>
      <c r="I9" s="193">
        <v>7776</v>
      </c>
      <c r="J9" s="113" t="s">
        <v>546</v>
      </c>
      <c r="K9" s="113">
        <v>1059</v>
      </c>
      <c r="L9" s="113" t="s">
        <v>60</v>
      </c>
      <c r="M9" s="113"/>
      <c r="N9" s="113"/>
      <c r="O9" s="113"/>
      <c r="P9" s="113"/>
      <c r="Q9" s="113" t="s">
        <v>43</v>
      </c>
      <c r="R9" s="113" t="s">
        <v>103</v>
      </c>
      <c r="S9" s="113">
        <v>0</v>
      </c>
      <c r="T9" s="113" t="s">
        <v>103</v>
      </c>
      <c r="U9" s="113">
        <v>0</v>
      </c>
      <c r="V9" s="113">
        <v>0</v>
      </c>
      <c r="W9" s="131">
        <f>Z9*I9/2000</f>
        <v>284.6016</v>
      </c>
      <c r="X9" s="113">
        <v>0</v>
      </c>
      <c r="Y9" s="113">
        <v>4</v>
      </c>
      <c r="Z9" s="113">
        <v>73.2</v>
      </c>
      <c r="AA9" s="113" t="s">
        <v>49</v>
      </c>
      <c r="AB9" s="115" t="s">
        <v>547</v>
      </c>
    </row>
    <row r="10" spans="1:28" ht="12.75">
      <c r="A10" s="194">
        <v>12</v>
      </c>
      <c r="B10" s="116">
        <v>1031</v>
      </c>
      <c r="C10" s="195">
        <v>2</v>
      </c>
      <c r="D10" s="116">
        <v>20200102</v>
      </c>
      <c r="E10" s="116" t="s">
        <v>548</v>
      </c>
      <c r="F10" s="116" t="s">
        <v>38</v>
      </c>
      <c r="G10" s="116"/>
      <c r="H10" s="116" t="s">
        <v>78</v>
      </c>
      <c r="I10" s="195">
        <v>48632</v>
      </c>
      <c r="J10" s="116" t="s">
        <v>427</v>
      </c>
      <c r="K10" s="116" t="s">
        <v>103</v>
      </c>
      <c r="L10" s="116"/>
      <c r="M10" s="116"/>
      <c r="N10" s="116"/>
      <c r="O10" s="116"/>
      <c r="P10" s="116"/>
      <c r="Q10" s="116" t="s">
        <v>43</v>
      </c>
      <c r="R10" s="116" t="s">
        <v>103</v>
      </c>
      <c r="S10" s="116">
        <v>0</v>
      </c>
      <c r="T10" s="116" t="s">
        <v>103</v>
      </c>
      <c r="U10" s="116">
        <v>0</v>
      </c>
      <c r="V10" s="116">
        <v>0</v>
      </c>
      <c r="W10" s="135">
        <f>Z10*I10/(2000*1000)</f>
        <v>0.7562276</v>
      </c>
      <c r="X10" s="116">
        <v>0</v>
      </c>
      <c r="Y10" s="116">
        <v>8</v>
      </c>
      <c r="Z10" s="116">
        <v>31.1</v>
      </c>
      <c r="AA10" s="116" t="s">
        <v>115</v>
      </c>
      <c r="AB10" s="118" t="s">
        <v>549</v>
      </c>
    </row>
    <row r="11" spans="1:28" ht="12.75">
      <c r="A11" s="194">
        <v>12</v>
      </c>
      <c r="B11" s="116">
        <v>21425</v>
      </c>
      <c r="C11" s="116">
        <v>3</v>
      </c>
      <c r="D11" s="116">
        <v>20200102</v>
      </c>
      <c r="E11" s="116" t="s">
        <v>550</v>
      </c>
      <c r="F11" s="116" t="s">
        <v>38</v>
      </c>
      <c r="G11" s="116"/>
      <c r="H11" s="116" t="s">
        <v>78</v>
      </c>
      <c r="I11" s="195">
        <v>1553</v>
      </c>
      <c r="J11" s="116" t="s">
        <v>551</v>
      </c>
      <c r="K11" s="116" t="s">
        <v>103</v>
      </c>
      <c r="L11" s="116"/>
      <c r="M11" s="116"/>
      <c r="N11" s="116"/>
      <c r="O11" s="116"/>
      <c r="P11" s="116"/>
      <c r="Q11" s="116" t="s">
        <v>43</v>
      </c>
      <c r="R11" s="116" t="s">
        <v>103</v>
      </c>
      <c r="S11" s="116">
        <v>0</v>
      </c>
      <c r="T11" s="116" t="s">
        <v>103</v>
      </c>
      <c r="U11" s="116">
        <v>0</v>
      </c>
      <c r="V11" s="116">
        <v>0</v>
      </c>
      <c r="W11" s="135">
        <f>Z11*I11/2000</f>
        <v>0.35719</v>
      </c>
      <c r="X11" s="116">
        <v>0</v>
      </c>
      <c r="Y11" s="116">
        <v>8</v>
      </c>
      <c r="Z11" s="116">
        <v>0.46</v>
      </c>
      <c r="AA11" s="116" t="s">
        <v>49</v>
      </c>
      <c r="AB11" s="118" t="s">
        <v>549</v>
      </c>
    </row>
    <row r="12" spans="1:28" ht="12.75">
      <c r="A12" s="194">
        <v>12</v>
      </c>
      <c r="B12" s="116">
        <v>1032</v>
      </c>
      <c r="C12" s="116">
        <v>5</v>
      </c>
      <c r="D12" s="116">
        <v>20200301</v>
      </c>
      <c r="E12" s="116" t="s">
        <v>552</v>
      </c>
      <c r="F12" s="116" t="s">
        <v>38</v>
      </c>
      <c r="G12" s="116"/>
      <c r="H12" s="116" t="s">
        <v>78</v>
      </c>
      <c r="I12" s="195">
        <v>60889</v>
      </c>
      <c r="J12" s="116" t="s">
        <v>427</v>
      </c>
      <c r="K12" s="116" t="s">
        <v>103</v>
      </c>
      <c r="L12" s="116"/>
      <c r="M12" s="116"/>
      <c r="N12" s="116"/>
      <c r="O12" s="116"/>
      <c r="P12" s="116"/>
      <c r="Q12" s="116" t="s">
        <v>43</v>
      </c>
      <c r="R12" s="116" t="s">
        <v>103</v>
      </c>
      <c r="S12" s="116">
        <v>0</v>
      </c>
      <c r="T12" s="116" t="s">
        <v>103</v>
      </c>
      <c r="U12" s="116">
        <v>0</v>
      </c>
      <c r="V12" s="116">
        <v>0</v>
      </c>
      <c r="W12" s="135">
        <f>Z12*I12/(2000*1000)</f>
        <v>0.9498684000000001</v>
      </c>
      <c r="X12" s="116">
        <v>0</v>
      </c>
      <c r="Y12" s="116">
        <v>8</v>
      </c>
      <c r="Z12" s="116">
        <v>31.2</v>
      </c>
      <c r="AA12" s="116" t="s">
        <v>115</v>
      </c>
      <c r="AB12" s="118" t="s">
        <v>549</v>
      </c>
    </row>
    <row r="13" spans="1:28" ht="12.75">
      <c r="A13" s="194">
        <v>12</v>
      </c>
      <c r="B13" s="116">
        <v>972</v>
      </c>
      <c r="C13" s="116">
        <v>5</v>
      </c>
      <c r="D13" s="116">
        <v>20200301</v>
      </c>
      <c r="E13" s="116" t="s">
        <v>552</v>
      </c>
      <c r="F13" s="116" t="s">
        <v>38</v>
      </c>
      <c r="G13" s="116"/>
      <c r="H13" s="116" t="s">
        <v>273</v>
      </c>
      <c r="I13" s="195">
        <v>500</v>
      </c>
      <c r="J13" s="116" t="s">
        <v>427</v>
      </c>
      <c r="K13" s="116" t="s">
        <v>103</v>
      </c>
      <c r="L13" s="116"/>
      <c r="M13" s="116"/>
      <c r="N13" s="116"/>
      <c r="O13" s="116"/>
      <c r="P13" s="116"/>
      <c r="Q13" s="116" t="s">
        <v>43</v>
      </c>
      <c r="R13" s="116" t="s">
        <v>103</v>
      </c>
      <c r="S13" s="116">
        <v>0</v>
      </c>
      <c r="T13" s="116" t="s">
        <v>103</v>
      </c>
      <c r="U13" s="116">
        <v>0</v>
      </c>
      <c r="V13" s="116">
        <v>0</v>
      </c>
      <c r="W13" s="135">
        <f>Z13*I13/(2000*1000)</f>
        <v>0.00132</v>
      </c>
      <c r="X13" s="116">
        <v>0</v>
      </c>
      <c r="Y13" s="116">
        <v>8</v>
      </c>
      <c r="Z13" s="116">
        <v>5.28</v>
      </c>
      <c r="AA13" s="116" t="s">
        <v>115</v>
      </c>
      <c r="AB13" s="118" t="s">
        <v>549</v>
      </c>
    </row>
    <row r="14" spans="1:28" ht="12.75">
      <c r="A14" s="194">
        <v>12</v>
      </c>
      <c r="B14" s="116">
        <v>1033</v>
      </c>
      <c r="C14" s="116">
        <v>7</v>
      </c>
      <c r="D14" s="116">
        <v>20200102</v>
      </c>
      <c r="E14" s="116" t="s">
        <v>119</v>
      </c>
      <c r="F14" s="116" t="s">
        <v>38</v>
      </c>
      <c r="G14" s="116"/>
      <c r="H14" s="116" t="s">
        <v>78</v>
      </c>
      <c r="I14" s="195">
        <v>2344</v>
      </c>
      <c r="J14" s="116" t="s">
        <v>427</v>
      </c>
      <c r="K14" s="116" t="s">
        <v>103</v>
      </c>
      <c r="L14" s="116"/>
      <c r="M14" s="116"/>
      <c r="N14" s="116"/>
      <c r="O14" s="116"/>
      <c r="P14" s="116"/>
      <c r="Q14" s="116" t="s">
        <v>43</v>
      </c>
      <c r="R14" s="116" t="s">
        <v>103</v>
      </c>
      <c r="S14" s="116">
        <v>0</v>
      </c>
      <c r="T14" s="116" t="s">
        <v>103</v>
      </c>
      <c r="U14" s="116">
        <v>0</v>
      </c>
      <c r="V14" s="116">
        <v>0</v>
      </c>
      <c r="W14" s="135">
        <f>Z14*I14/(2000*1000)</f>
        <v>0.0365664</v>
      </c>
      <c r="X14" s="116">
        <v>0</v>
      </c>
      <c r="Y14" s="116">
        <v>8</v>
      </c>
      <c r="Z14" s="116">
        <v>31.2</v>
      </c>
      <c r="AA14" s="116" t="s">
        <v>115</v>
      </c>
      <c r="AB14" s="118" t="s">
        <v>549</v>
      </c>
    </row>
    <row r="15" spans="1:28" ht="12.75">
      <c r="A15" s="194">
        <v>12</v>
      </c>
      <c r="B15" s="116">
        <v>1034</v>
      </c>
      <c r="C15" s="116">
        <v>8</v>
      </c>
      <c r="D15" s="116">
        <v>20200102</v>
      </c>
      <c r="E15" s="116" t="s">
        <v>553</v>
      </c>
      <c r="F15" s="116" t="s">
        <v>38</v>
      </c>
      <c r="G15" s="116"/>
      <c r="H15" s="116" t="s">
        <v>78</v>
      </c>
      <c r="I15" s="195">
        <v>2477</v>
      </c>
      <c r="J15" s="116" t="s">
        <v>427</v>
      </c>
      <c r="K15" s="116" t="s">
        <v>103</v>
      </c>
      <c r="L15" s="116"/>
      <c r="M15" s="116"/>
      <c r="N15" s="116"/>
      <c r="O15" s="116"/>
      <c r="P15" s="116"/>
      <c r="Q15" s="116" t="s">
        <v>43</v>
      </c>
      <c r="R15" s="116" t="s">
        <v>103</v>
      </c>
      <c r="S15" s="116">
        <v>0</v>
      </c>
      <c r="T15" s="116" t="s">
        <v>103</v>
      </c>
      <c r="U15" s="116">
        <v>0</v>
      </c>
      <c r="V15" s="116">
        <v>0</v>
      </c>
      <c r="W15" s="135">
        <f>Z15*I15/2000</f>
        <v>0.56971</v>
      </c>
      <c r="X15" s="116">
        <v>0</v>
      </c>
      <c r="Y15" s="116">
        <v>6</v>
      </c>
      <c r="Z15" s="116">
        <v>0.46</v>
      </c>
      <c r="AA15" s="116" t="s">
        <v>49</v>
      </c>
      <c r="AB15" s="118" t="s">
        <v>554</v>
      </c>
    </row>
    <row r="16" spans="1:28" ht="12.75">
      <c r="A16" s="194">
        <v>12</v>
      </c>
      <c r="B16" s="116">
        <v>1035</v>
      </c>
      <c r="C16" s="116">
        <v>10</v>
      </c>
      <c r="D16" s="116">
        <v>20200102</v>
      </c>
      <c r="E16" s="116" t="s">
        <v>555</v>
      </c>
      <c r="F16" s="116" t="s">
        <v>38</v>
      </c>
      <c r="G16" s="116"/>
      <c r="H16" s="116" t="s">
        <v>78</v>
      </c>
      <c r="I16" s="195">
        <v>200</v>
      </c>
      <c r="J16" s="116" t="s">
        <v>427</v>
      </c>
      <c r="K16" s="116" t="s">
        <v>103</v>
      </c>
      <c r="L16" s="116"/>
      <c r="M16" s="116"/>
      <c r="N16" s="116"/>
      <c r="O16" s="116"/>
      <c r="P16" s="116"/>
      <c r="Q16" s="116" t="s">
        <v>43</v>
      </c>
      <c r="R16" s="116" t="s">
        <v>103</v>
      </c>
      <c r="S16" s="116">
        <v>0</v>
      </c>
      <c r="T16" s="116" t="s">
        <v>103</v>
      </c>
      <c r="U16" s="116">
        <v>0</v>
      </c>
      <c r="V16" s="116">
        <v>0</v>
      </c>
      <c r="W16" s="135">
        <f>Z16*I16/(2000*1000)</f>
        <v>0.00311</v>
      </c>
      <c r="X16" s="116">
        <v>0</v>
      </c>
      <c r="Y16" s="116">
        <v>8</v>
      </c>
      <c r="Z16" s="116">
        <v>31.1</v>
      </c>
      <c r="AA16" s="116" t="s">
        <v>115</v>
      </c>
      <c r="AB16" s="118" t="s">
        <v>549</v>
      </c>
    </row>
    <row r="17" spans="1:28" ht="13.5" thickBot="1">
      <c r="A17" s="196">
        <v>12</v>
      </c>
      <c r="B17" s="119">
        <v>1036</v>
      </c>
      <c r="C17" s="119">
        <v>18</v>
      </c>
      <c r="D17" s="119">
        <v>20200102</v>
      </c>
      <c r="E17" s="119" t="s">
        <v>556</v>
      </c>
      <c r="F17" s="119" t="s">
        <v>38</v>
      </c>
      <c r="G17" s="119"/>
      <c r="H17" s="119" t="s">
        <v>78</v>
      </c>
      <c r="I17" s="197">
        <v>16543</v>
      </c>
      <c r="J17" s="119" t="s">
        <v>427</v>
      </c>
      <c r="K17" s="119" t="s">
        <v>103</v>
      </c>
      <c r="L17" s="119"/>
      <c r="M17" s="119"/>
      <c r="N17" s="119"/>
      <c r="O17" s="119"/>
      <c r="P17" s="119"/>
      <c r="Q17" s="119" t="s">
        <v>43</v>
      </c>
      <c r="R17" s="119" t="s">
        <v>103</v>
      </c>
      <c r="S17" s="119">
        <v>0</v>
      </c>
      <c r="T17" s="119" t="s">
        <v>103</v>
      </c>
      <c r="U17" s="119">
        <v>0</v>
      </c>
      <c r="V17" s="119">
        <v>0</v>
      </c>
      <c r="W17" s="139">
        <f>Z17*I17/(2000*1000)</f>
        <v>0.25724365000000005</v>
      </c>
      <c r="X17" s="119">
        <v>0</v>
      </c>
      <c r="Y17" s="119">
        <v>8</v>
      </c>
      <c r="Z17" s="119">
        <v>31.1</v>
      </c>
      <c r="AA17" s="119" t="s">
        <v>115</v>
      </c>
      <c r="AB17" s="122" t="s">
        <v>549</v>
      </c>
    </row>
    <row r="18" spans="10:24" ht="13.5" thickBot="1">
      <c r="J18" s="198"/>
      <c r="V18" s="140" t="s">
        <v>86</v>
      </c>
      <c r="W18" s="141">
        <f>SUM(W9:W17)</f>
        <v>287.53283605000007</v>
      </c>
      <c r="X18" s="199"/>
    </row>
    <row r="19" spans="3:24" ht="13.5" thickTop="1">
      <c r="C19" s="59" t="s">
        <v>125</v>
      </c>
      <c r="L19" s="59"/>
      <c r="X19" s="200"/>
    </row>
    <row r="21" ht="12.75">
      <c r="C21" t="s">
        <v>557</v>
      </c>
    </row>
    <row r="22" ht="12.75">
      <c r="C22" t="s">
        <v>558</v>
      </c>
    </row>
    <row r="24" ht="12.75">
      <c r="C24" t="s">
        <v>289</v>
      </c>
    </row>
    <row r="25" ht="12.75">
      <c r="D25" t="s">
        <v>559</v>
      </c>
    </row>
  </sheetData>
  <mergeCells count="24">
    <mergeCell ref="E6:E8"/>
    <mergeCell ref="G6:G8"/>
    <mergeCell ref="H6:H8"/>
    <mergeCell ref="I6:L7"/>
    <mergeCell ref="Z6:Z8"/>
    <mergeCell ref="F6:F8"/>
    <mergeCell ref="AA6:AA8"/>
    <mergeCell ref="AB6:AB8"/>
    <mergeCell ref="M6:P7"/>
    <mergeCell ref="Q6:Q8"/>
    <mergeCell ref="R6:S6"/>
    <mergeCell ref="T6:U6"/>
    <mergeCell ref="R7:R8"/>
    <mergeCell ref="S7:S8"/>
    <mergeCell ref="A6:A8"/>
    <mergeCell ref="B6:B8"/>
    <mergeCell ref="C6:C8"/>
    <mergeCell ref="D6:D8"/>
    <mergeCell ref="X6:X8"/>
    <mergeCell ref="Y6:Y8"/>
    <mergeCell ref="T7:T8"/>
    <mergeCell ref="U7:U8"/>
    <mergeCell ref="V6:V8"/>
    <mergeCell ref="W6:W8"/>
  </mergeCells>
  <printOptions horizontalCentered="1"/>
  <pageMargins left="0.75" right="0.75" top="1.4" bottom="1" header="0.5" footer="0.5"/>
  <pageSetup horizontalDpi="600" verticalDpi="600" orientation="landscape" r:id="rId3"/>
  <headerFooter alignWithMargins="0">
    <oddHeader>&amp;L
Holcim (was Holnam) 
Site Name:  Devils Slide Plant
Site ID:  10007&amp;CRegional Haze
2000 Statewide SOx Sources</oddHeader>
    <oddFooter>&amp;R&amp;D
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Utah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cnielsen</dc:creator>
  <cp:keywords/>
  <dc:description/>
  <cp:lastModifiedBy>cnielsen</cp:lastModifiedBy>
  <cp:lastPrinted>2002-03-21T23:08:44Z</cp:lastPrinted>
  <dcterms:created xsi:type="dcterms:W3CDTF">2002-03-21T19:44:31Z</dcterms:created>
  <dcterms:modified xsi:type="dcterms:W3CDTF">2003-10-22T13:29:42Z</dcterms:modified>
  <cp:category/>
  <cp:version/>
  <cp:contentType/>
  <cp:contentStatus/>
</cp:coreProperties>
</file>